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31" windowWidth="11340" windowHeight="6435" tabRatio="601" activeTab="0"/>
  </bookViews>
  <sheets>
    <sheet name="Table 1 State Summary" sheetId="1" r:id="rId1"/>
    <sheet name="Table 2 Distribution &amp; Adjusts" sheetId="2" r:id="rId2"/>
    <sheet name="Table 3 Levels 1&amp;2" sheetId="3" r:id="rId3"/>
    <sheet name="Table 4 Level 3" sheetId="4" r:id="rId4"/>
    <sheet name="Table 5 Lab Schools" sheetId="5" r:id="rId5"/>
    <sheet name="Table 6 Local Wealth Factor" sheetId="6" r:id="rId6"/>
    <sheet name="Table 7 Local Revenue" sheetId="7" r:id="rId7"/>
    <sheet name="Table 8 Membership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'Table 1 State Summary'!$A$1:$H$53</definedName>
    <definedName name="_xlnm.Print_Area" localSheetId="1">'Table 2 Distribution &amp; Adjusts'!$C$5:$O$72</definedName>
    <definedName name="_xlnm.Print_Area" localSheetId="2">'Table 3 Levels 1&amp;2'!$C$8:$BA$75</definedName>
    <definedName name="_xlnm.Print_Area" localSheetId="3">'Table 4 Level 3'!$C$1:$Y$73</definedName>
    <definedName name="_xlnm.Print_Area" localSheetId="4">'Table 5 Lab Schools'!$A$2:$J$16</definedName>
    <definedName name="_xlnm.Print_Area" localSheetId="5">'Table 6 Local Wealth Factor'!$C$8:$Q$76</definedName>
    <definedName name="_xlnm.Print_Area" localSheetId="6">'Table 7 Local Revenue'!$A$7:$AL$74</definedName>
    <definedName name="_xlnm.Print_Area" localSheetId="7">'Table 8 Membership'!$C$8:$Z$75</definedName>
    <definedName name="_xlnm.Print_Titles" localSheetId="1">'Table 2 Distribution &amp; Adjusts'!$B:$B,'Table 2 Distribution &amp; Adjusts'!$1:$4</definedName>
    <definedName name="_xlnm.Print_Titles" localSheetId="2">'Table 3 Levels 1&amp;2'!$B:$B,'Table 3 Levels 1&amp;2'!$2:$7</definedName>
    <definedName name="_xlnm.Print_Titles" localSheetId="3">'Table 4 Level 3'!$B:$B</definedName>
    <definedName name="_xlnm.Print_Titles" localSheetId="5">'Table 6 Local Wealth Factor'!$B:$B,'Table 6 Local Wealth Factor'!$3:$7</definedName>
    <definedName name="_xlnm.Print_Titles" localSheetId="6">'Table 7 Local Revenue'!$B:$C,'Table 7 Local Revenue'!$1:$6</definedName>
    <definedName name="_xlnm.Print_Titles" localSheetId="7">'Table 8 Membership'!$B:$B,'Table 8 Membership'!$2:$7</definedName>
  </definedNames>
  <calcPr fullCalcOnLoad="1"/>
</workbook>
</file>

<file path=xl/sharedStrings.xml><?xml version="1.0" encoding="utf-8"?>
<sst xmlns="http://schemas.openxmlformats.org/spreadsheetml/2006/main" count="1052" uniqueCount="657">
  <si>
    <t>Table 8, col U 80 &amp; U81</t>
  </si>
  <si>
    <t xml:space="preserve"> 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</si>
  <si>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</si>
  <si>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</si>
  <si>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</si>
  <si>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</si>
  <si>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</si>
  <si>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</si>
  <si>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</si>
  <si>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</si>
  <si>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</si>
  <si>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</si>
  <si>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</si>
  <si>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</si>
  <si>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</si>
  <si>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</si>
  <si>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</si>
  <si>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</si>
  <si>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</si>
  <si>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</si>
  <si>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</si>
  <si>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</si>
  <si>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</si>
  <si>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</si>
  <si>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</si>
  <si>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</si>
  <si>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</si>
  <si>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</si>
  <si>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</si>
  <si>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</si>
  <si>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</si>
  <si>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</si>
  <si>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</si>
  <si>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</si>
  <si>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</si>
  <si>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</si>
  <si>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</si>
  <si>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</si>
  <si>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</si>
  <si>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</si>
  <si>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</si>
  <si>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</si>
  <si>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</si>
  <si>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</si>
  <si>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</si>
  <si>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</si>
  <si>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</si>
  <si>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</si>
  <si>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</si>
  <si>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</si>
  <si>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</si>
  <si>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</si>
  <si>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</si>
  <si>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</si>
  <si>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</si>
  <si>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</si>
  <si>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</si>
  <si>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</si>
  <si>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</si>
  <si>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</si>
  <si>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</si>
  <si>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</si>
  <si>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</si>
  <si>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</si>
  <si>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</si>
  <si>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</si>
  <si>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</si>
  <si>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</si>
  <si>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AT-RISK STUDENTS (PER SIS)</t>
  </si>
  <si>
    <t>AT-RISK WEIGHTED COST</t>
  </si>
  <si>
    <t>VOC UNITS (PER ANNUAL SCHOOL REPORT)</t>
  </si>
  <si>
    <t>VOC ED WEIGHTED COST</t>
  </si>
  <si>
    <t xml:space="preserve"> SPECIAL ED OTHER EXCEPTIONALITIES STUDENTS (PER LANSER)</t>
  </si>
  <si>
    <t>OTHER EXCEPTIONALITIES WEIGHTED COST</t>
  </si>
  <si>
    <t>SPECIAL ED GIFTED AND TALENTED STUDENTS (PER LANSER)</t>
  </si>
  <si>
    <t>GIFTED AND TALENTED WEIGHTED COST</t>
  </si>
  <si>
    <t>ECONOMY OF SCALE ELIGIBLE  DISTRICT MEMBERSHIP IF LESS THAN 7,500 THEN 7,500 LESS OCT.1MEMBERSHIP</t>
  </si>
  <si>
    <t>ECONOMY OF SCALE WEIGHTED COST</t>
  </si>
  <si>
    <t>DEBT SERVICE TAXES</t>
  </si>
  <si>
    <t>PER PUPIL</t>
  </si>
  <si>
    <t>RANK</t>
  </si>
  <si>
    <t>TOTAL ASSESSED PROPERTY VALUE</t>
  </si>
  <si>
    <t>ASSESSED HOMESTEAD EXEMPTION</t>
  </si>
  <si>
    <t>NET ASSESSED TAXABLE PROPERTY</t>
  </si>
  <si>
    <t>PARISH MILL RATE</t>
  </si>
  <si>
    <t>PARISH REVENUE AMOUNT</t>
  </si>
  <si>
    <t>DIST MILL LOW</t>
  </si>
  <si>
    <t>DIST MILL HIGH</t>
  </si>
  <si>
    <t>DIST REVENUE AMOUNT</t>
  </si>
  <si>
    <t>REVENUE PARISHWIDE INCL. DEBT</t>
  </si>
  <si>
    <t>REVENUE DISTRICT INCL. DEBT</t>
  </si>
  <si>
    <t>TOTAL AD VALOREM TAXES    (NON DEBT)</t>
  </si>
  <si>
    <t>SALES TAXES</t>
  </si>
  <si>
    <t>COMBINED SALES PERCENT</t>
  </si>
  <si>
    <t>SALES REVENUE (NON-DEBT)</t>
  </si>
  <si>
    <t>SALES REVENUE (DEBT)</t>
  </si>
  <si>
    <t>COMPUTED SALES TAX BASE</t>
  </si>
  <si>
    <t>NON-DEBT RATE</t>
  </si>
  <si>
    <t>DEBT RATE</t>
  </si>
  <si>
    <t>PROPERTY CAPACITY INCLUDING DEBT</t>
  </si>
  <si>
    <t>SALES CAPACITY INCLUDING DEBT</t>
  </si>
  <si>
    <t>COMBINED CAPACITY INCLUDING DEBT</t>
  </si>
  <si>
    <t>EFFORT INDEX</t>
  </si>
  <si>
    <t>School System</t>
  </si>
  <si>
    <t>Per Pupil Amount</t>
  </si>
  <si>
    <t>Hide</t>
  </si>
  <si>
    <t xml:space="preserve">Economy-of-Scale Weighted Add-On Units </t>
  </si>
  <si>
    <t xml:space="preserve">Total Weighted Add-On Students and/or Units </t>
  </si>
  <si>
    <t>Local Wealth Factor (LWF)</t>
  </si>
  <si>
    <t xml:space="preserve">Weighted Proportion State Membership </t>
  </si>
  <si>
    <t xml:space="preserve">Local Proration Factor </t>
  </si>
  <si>
    <t xml:space="preserve">Local Share of Level 1 </t>
  </si>
  <si>
    <t xml:space="preserve">Local Share Percent </t>
  </si>
  <si>
    <t xml:space="preserve">State Share Percent </t>
  </si>
  <si>
    <t xml:space="preserve">Local Revenue Over Level 1 </t>
  </si>
  <si>
    <t xml:space="preserve">Local Revenue Under Level 1 </t>
  </si>
  <si>
    <t xml:space="preserve">Percent State </t>
  </si>
  <si>
    <t xml:space="preserve">Level 2 State Liability </t>
  </si>
  <si>
    <t xml:space="preserve">State and Local Participation in Level 2 </t>
  </si>
  <si>
    <t xml:space="preserve">TOTAL LEVEL 1 COSTS </t>
  </si>
  <si>
    <t xml:space="preserve">STATE SHARE OF LEVEL 1 </t>
  </si>
  <si>
    <t>SCHOOL DISTRICTS</t>
  </si>
  <si>
    <t>(1)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</si>
  <si>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</si>
  <si>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</si>
  <si>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</si>
  <si>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</si>
  <si>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</si>
  <si>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</si>
  <si>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</si>
  <si>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</si>
  <si>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</si>
  <si>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</si>
  <si>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</si>
  <si>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</si>
  <si>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</si>
  <si>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</si>
  <si>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</si>
  <si>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</si>
  <si>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</si>
  <si>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</si>
  <si>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</si>
  <si>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</si>
  <si>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</si>
  <si>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</si>
  <si>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</si>
  <si>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</si>
  <si>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</si>
  <si>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</si>
  <si>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</si>
  <si>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</si>
  <si>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</si>
  <si>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</si>
  <si>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</si>
  <si>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</si>
  <si>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</si>
  <si>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</si>
  <si>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</si>
  <si>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</si>
  <si>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</si>
  <si>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</si>
  <si>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</si>
  <si>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</si>
  <si>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</si>
  <si>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</si>
  <si>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</si>
  <si>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</si>
  <si>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</si>
  <si>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</si>
  <si>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</si>
  <si>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</si>
  <si>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</si>
  <si>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</si>
  <si>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</si>
  <si>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</si>
  <si>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</si>
  <si>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</si>
  <si>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</si>
  <si>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</si>
  <si>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</si>
  <si>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</si>
  <si>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</si>
  <si>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</si>
  <si>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</si>
  <si>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</si>
  <si>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</si>
  <si>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</si>
  <si>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</si>
  <si>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</si>
  <si>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</si>
  <si>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</si>
  <si>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</si>
  <si>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</si>
  <si>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</si>
  <si>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</si>
  <si>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</si>
  <si>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</si>
  <si>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</si>
  <si>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TOTALS</t>
  </si>
  <si>
    <t>(3a)</t>
  </si>
  <si>
    <t>(3b)</t>
  </si>
  <si>
    <t>(4a)</t>
  </si>
  <si>
    <t>(4b)</t>
  </si>
  <si>
    <t>(5a)</t>
  </si>
  <si>
    <t>(5b)</t>
  </si>
  <si>
    <t>(13)</t>
  </si>
  <si>
    <t>(16)</t>
  </si>
  <si>
    <t xml:space="preserve">  AD VALOREM CONSTITUTIONAL TAX</t>
  </si>
  <si>
    <t>AD VALOREM RENEWABLE TAXES</t>
  </si>
  <si>
    <t>(24)</t>
  </si>
  <si>
    <t>(25)</t>
  </si>
  <si>
    <t>(26)</t>
  </si>
  <si>
    <t>FISCAL CAPACITY INDEX LWF</t>
  </si>
  <si>
    <t>RANK OF LWF</t>
  </si>
  <si>
    <t>Rank Effort</t>
  </si>
  <si>
    <t>(2a)</t>
  </si>
  <si>
    <t>(2b)</t>
  </si>
  <si>
    <t>Level 1 Base Per Pupil Amount</t>
  </si>
  <si>
    <t>1.</t>
  </si>
  <si>
    <t>October 1 Membership</t>
  </si>
  <si>
    <t>2.</t>
  </si>
  <si>
    <t>At-Risk Weight Factor (17%)</t>
  </si>
  <si>
    <t>3.</t>
  </si>
  <si>
    <t>Vocational Weight Factor (5%)</t>
  </si>
  <si>
    <t>4.</t>
  </si>
  <si>
    <t>Exceptionalities Weight Factor (150%)</t>
  </si>
  <si>
    <t>5.</t>
  </si>
  <si>
    <t>Gifted/Talented Weight Factor (60%)</t>
  </si>
  <si>
    <t>6.</t>
  </si>
  <si>
    <t xml:space="preserve">     (Max 20% at zero Membership &lt;7,500)</t>
  </si>
  <si>
    <t>Total Level 1 State and Local Costs (A X B)</t>
  </si>
  <si>
    <t>State Share of Cost (C X 65%)</t>
  </si>
  <si>
    <t>Local Share of Cost (C X 35%)</t>
  </si>
  <si>
    <t>Level 2 Eligible Local Revenue</t>
  </si>
  <si>
    <t>Total State Share Implementation of</t>
  </si>
  <si>
    <t>Plus/(Minus) Prior Year Adjustments</t>
  </si>
  <si>
    <t>Total State MFP Appropriation</t>
  </si>
  <si>
    <t>Budget Amendment to Increase/(Decrease)</t>
  </si>
  <si>
    <t>A.</t>
  </si>
  <si>
    <t>B.</t>
  </si>
  <si>
    <t>C.</t>
  </si>
  <si>
    <t>D.</t>
  </si>
  <si>
    <t>E.</t>
  </si>
  <si>
    <t>G.</t>
  </si>
  <si>
    <t>H.</t>
  </si>
  <si>
    <t>I.</t>
  </si>
  <si>
    <t>J.</t>
  </si>
  <si>
    <t>K.</t>
  </si>
  <si>
    <t>L.</t>
  </si>
  <si>
    <t>M.</t>
  </si>
  <si>
    <t>N.</t>
  </si>
  <si>
    <t>Total Allocation</t>
  </si>
  <si>
    <t xml:space="preserve">TOTAL </t>
  </si>
  <si>
    <t>Change</t>
  </si>
  <si>
    <t>MFP Formula Items</t>
  </si>
  <si>
    <t>%</t>
  </si>
  <si>
    <t xml:space="preserve">Economy-of-Scale Weight Factor </t>
  </si>
  <si>
    <t>Total Local Revenues in MFP</t>
  </si>
  <si>
    <t>Total Net Assessed Property</t>
  </si>
  <si>
    <t>Total Est. Sales Tax Base</t>
  </si>
  <si>
    <t>Average Equivalent Millage Rate</t>
  </si>
  <si>
    <t>Average Equivalent Sales Tax Rate</t>
  </si>
  <si>
    <t>Property Tax Revenue</t>
  </si>
  <si>
    <t>Sales Tax Revenue</t>
  </si>
  <si>
    <t>7.</t>
  </si>
  <si>
    <t>Other Revenues Considered</t>
  </si>
  <si>
    <t>Level 2 State Support (E X 40%)</t>
  </si>
  <si>
    <t>Level 2 State Liability</t>
  </si>
  <si>
    <t>Other Adjustments</t>
  </si>
  <si>
    <t>MFP Distribution Annual Increase</t>
  </si>
  <si>
    <t>(34)</t>
  </si>
  <si>
    <t>LEVEL 1 - BASE FOUNDATION OF STATE AND LOCAL COSTS (65/35%)</t>
  </si>
  <si>
    <t>LEA</t>
  </si>
  <si>
    <t>LSU Lab. School</t>
  </si>
  <si>
    <t>Southern Univ. Lab. School</t>
  </si>
  <si>
    <t xml:space="preserve">cols. + 2+  3 + 4 + 5 + 6 </t>
  </si>
  <si>
    <t>col. 12 x col. 11</t>
  </si>
  <si>
    <t>col. 14 / col. 10</t>
  </si>
  <si>
    <t>col. 16 / col. 10</t>
  </si>
  <si>
    <t>col. 10 x 33%</t>
  </si>
  <si>
    <t>Lesser of Col. 19 or 21</t>
  </si>
  <si>
    <t>col. 23 / col. 22</t>
  </si>
  <si>
    <t>col. 22 + col. 23</t>
  </si>
  <si>
    <t>(14)</t>
  </si>
  <si>
    <t>(15)</t>
  </si>
  <si>
    <t>(17)</t>
  </si>
  <si>
    <t>(18)</t>
  </si>
  <si>
    <t>(19)</t>
  </si>
  <si>
    <t>(20)</t>
  </si>
  <si>
    <t>(21)</t>
  </si>
  <si>
    <t>(22)</t>
  </si>
  <si>
    <t>(23)</t>
  </si>
  <si>
    <t>(27)</t>
  </si>
  <si>
    <t>(28)</t>
  </si>
  <si>
    <t>(29)</t>
  </si>
  <si>
    <t>(30)</t>
  </si>
  <si>
    <t>(31)</t>
  </si>
  <si>
    <t>(32)</t>
  </si>
  <si>
    <t>(33)</t>
  </si>
  <si>
    <t>(35)</t>
  </si>
  <si>
    <r>
      <t xml:space="preserve">TABLE 6 LWF: </t>
    </r>
    <r>
      <rPr>
        <b/>
        <i/>
        <sz val="18"/>
        <color indexed="20"/>
        <rFont val="Arial Narrow"/>
        <family val="2"/>
      </rPr>
      <t>Continued --</t>
    </r>
  </si>
  <si>
    <t>col. 2 / col. 1</t>
  </si>
  <si>
    <t>col. 4 / col. 1</t>
  </si>
  <si>
    <t>DIST. MILL LOW</t>
  </si>
  <si>
    <t>DIST. MILL HIGH</t>
  </si>
  <si>
    <t># OF DISTS.</t>
  </si>
  <si>
    <t>DIST. REVENUE AMOUNT</t>
  </si>
  <si>
    <t>AFR kpc 63320 col. 4</t>
  </si>
  <si>
    <t>AFR kpc 63320 col. 5</t>
  </si>
  <si>
    <t>(2)</t>
  </si>
  <si>
    <t xml:space="preserve">Total Weighted Membership and/or Units </t>
  </si>
  <si>
    <t xml:space="preserve">Local Per Pupil                ( Levels 1 and 2) </t>
  </si>
  <si>
    <t>col 2 X col 9</t>
  </si>
  <si>
    <t>col 4 X col 9</t>
  </si>
  <si>
    <t>col 5 X col 9</t>
  </si>
  <si>
    <t>if col 1 is less than 7500, then 7500 less col 1, otherwise 0</t>
  </si>
  <si>
    <t>col 6a / 37,500 max of 20% (7,500/37,500)</t>
  </si>
  <si>
    <t>col 6 x col 9</t>
  </si>
  <si>
    <t>col. 6b x  col. 1</t>
  </si>
  <si>
    <t>col. 8 x col. 9</t>
  </si>
  <si>
    <t>Table 6, col. 6 Capacity Index</t>
  </si>
  <si>
    <t>col.8 / Grand Total of col. 8</t>
  </si>
  <si>
    <t>col. 1 + col. 7</t>
  </si>
  <si>
    <t xml:space="preserve">GRADE LEVELS </t>
  </si>
  <si>
    <t>Oct. 1,</t>
  </si>
  <si>
    <t>Infants</t>
  </si>
  <si>
    <t>Pre-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</si>
  <si>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</si>
  <si>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</si>
  <si>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</si>
  <si>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</si>
  <si>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</si>
  <si>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</si>
  <si>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</si>
  <si>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</si>
  <si>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</si>
  <si>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</si>
  <si>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</si>
  <si>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</si>
  <si>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</si>
  <si>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</si>
  <si>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</si>
  <si>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Ungraded</t>
  </si>
  <si>
    <t>LEA Total</t>
  </si>
  <si>
    <t>School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</si>
  <si>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</si>
  <si>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</si>
  <si>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</si>
  <si>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</si>
  <si>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</si>
  <si>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</si>
  <si>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</si>
  <si>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</si>
  <si>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</si>
  <si>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</si>
  <si>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</si>
  <si>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</si>
  <si>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</si>
  <si>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</si>
  <si>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</si>
  <si>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</si>
  <si>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E.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</si>
  <si>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</si>
  <si>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</si>
  <si>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</si>
  <si>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</si>
  <si>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</si>
  <si>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</si>
  <si>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</si>
  <si>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</si>
  <si>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</si>
  <si>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</si>
  <si>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</si>
  <si>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</si>
  <si>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</si>
  <si>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</si>
  <si>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</si>
  <si>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</si>
  <si>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</si>
  <si>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</si>
  <si>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</si>
  <si>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</si>
  <si>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</si>
  <si>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</si>
  <si>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</si>
  <si>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</si>
  <si>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</si>
  <si>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</si>
  <si>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</si>
  <si>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</si>
  <si>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</si>
  <si>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</si>
  <si>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</si>
  <si>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</si>
  <si>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</si>
  <si>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</si>
  <si>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</si>
  <si>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</si>
  <si>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</si>
  <si>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</si>
  <si>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</si>
  <si>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</si>
  <si>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</si>
  <si>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</si>
  <si>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W. Baton Rouge Parish</t>
  </si>
  <si>
    <t>West Carroll Parish</t>
  </si>
  <si>
    <t>West Feliciana Parish</t>
  </si>
  <si>
    <t>Winn Parish</t>
  </si>
  <si>
    <t xml:space="preserve">Total State Formula  Allocation </t>
  </si>
  <si>
    <t xml:space="preserve"> Weighted Add-On Students Other Excep - tionalities </t>
  </si>
  <si>
    <t xml:space="preserve"> Weighted Add-On Students Gifted/ Talented </t>
  </si>
  <si>
    <t>Southern Univ.</t>
  </si>
  <si>
    <t>Lab. School</t>
  </si>
  <si>
    <t>LSU</t>
  </si>
  <si>
    <t>PARISHWIDE  MILLAGE INCL. DEBT</t>
  </si>
  <si>
    <t>Rank</t>
  </si>
  <si>
    <t>Minimum Pay Raise Support</t>
  </si>
  <si>
    <t>Hold Harmless</t>
  </si>
  <si>
    <t>TOTAL STATE SUBSEQUENT YEAR CHANGE - CASH BASIS</t>
  </si>
  <si>
    <t>Total Weighted Membership</t>
  </si>
  <si>
    <t>Per Pupil</t>
  </si>
  <si>
    <t>No. of Districts</t>
  </si>
  <si>
    <t>HOLD HARMLESS</t>
  </si>
  <si>
    <t xml:space="preserve">State Funds as Percent of Total State &amp; Local </t>
  </si>
  <si>
    <t>(36)</t>
  </si>
  <si>
    <t>(37)</t>
  </si>
  <si>
    <t>(38)</t>
  </si>
  <si>
    <t>(39)</t>
  </si>
  <si>
    <t>(40)</t>
  </si>
  <si>
    <t>(41)</t>
  </si>
  <si>
    <t>(42)</t>
  </si>
  <si>
    <t>(43)</t>
  </si>
  <si>
    <t>ELIGIBLE LOCAL REVENUE LEVEL 2</t>
  </si>
  <si>
    <t xml:space="preserve">Local Revenue Limit on Level 2 State Support </t>
  </si>
  <si>
    <t xml:space="preserve">Local Revenue as Percent of Total State &amp; Local </t>
  </si>
  <si>
    <t>ECONOMY OF SCALE PERCENT SUPPORT</t>
  </si>
  <si>
    <r>
      <t xml:space="preserve">Table 8: </t>
    </r>
    <r>
      <rPr>
        <b/>
        <i/>
        <sz val="18"/>
        <rFont val="Arial"/>
        <family val="2"/>
      </rPr>
      <t>Continued --</t>
    </r>
  </si>
  <si>
    <t>TOTAL AVG. MILL RATE (DEBT)</t>
  </si>
  <si>
    <t>TOTAL AVG. MILL RATE (NON DEBT)</t>
  </si>
  <si>
    <t>TOTAL AVG. MILL RATE INCLUDING DEBT</t>
  </si>
  <si>
    <t>OTHER REVENUES: Includes State and Federal taxes in lieu of &amp; 50% of earnings from 16th section and from other real estate</t>
  </si>
  <si>
    <t>OTHER REVENUES:  Includes State and Federal taxes in lieu of &amp; 50% of earnings from 16th section and from other real estate</t>
  </si>
  <si>
    <t>LOCAL WEALTH FACTOR</t>
  </si>
  <si>
    <t>LOCAL EFFORT INDEX</t>
  </si>
  <si>
    <t>Foreign Associate Teachers</t>
  </si>
  <si>
    <t>FOREIGN ASSOCIATE TEACHERS</t>
  </si>
  <si>
    <t>Level 3 State Funding for Foreign Associate Teachers</t>
  </si>
  <si>
    <t>TOTAL LEVEL 3</t>
  </si>
  <si>
    <t>Reduction of Funding Over Pay Raise</t>
  </si>
  <si>
    <t>Level 3 Legislative Enhancements/ Reductions</t>
  </si>
  <si>
    <t>LEVEL 1 &amp; 2 STATE INCREASES AND ADJUSTMENTS</t>
  </si>
  <si>
    <t>St. John the Baptist</t>
  </si>
  <si>
    <t>ST. JOHN THE BAPTIST</t>
  </si>
  <si>
    <t>St. John the Baptist Parish</t>
  </si>
  <si>
    <t>Level 1 and 2 State Share (C1+E1)</t>
  </si>
  <si>
    <t xml:space="preserve">Table 7 (state total col. 25 x col. 3 / 1000) </t>
  </si>
  <si>
    <t>Table 7 (total col. 27*col. 31)</t>
  </si>
  <si>
    <t xml:space="preserve">col. 6/col.1 </t>
  </si>
  <si>
    <t>col. 2 + col.4 + col.6</t>
  </si>
  <si>
    <t>col. 8/ col. 1</t>
  </si>
  <si>
    <t>col. 9 / total col. 9</t>
  </si>
  <si>
    <t>Table 7 (col. 26+ col. 30+ col. 34)</t>
  </si>
  <si>
    <t>col. 12/ col. 1</t>
  </si>
  <si>
    <t>col. 13 / col. 9</t>
  </si>
  <si>
    <t>F.</t>
  </si>
  <si>
    <t>Total MFP Allocation (H+I)</t>
  </si>
  <si>
    <t>Total MFP Distribution (J+K)</t>
  </si>
  <si>
    <t>Table 3, col. 31</t>
  </si>
  <si>
    <t>cols. 1+2+3</t>
  </si>
  <si>
    <t>cols. 4-5</t>
  </si>
  <si>
    <t>Positve col. 9</t>
  </si>
  <si>
    <t>Negative col. 9</t>
  </si>
  <si>
    <t>col 3 X 9</t>
  </si>
  <si>
    <t>col. 13 x grand total of col. 10 x 35% &lt; col. 10, use, otherwise col. 10</t>
  </si>
  <si>
    <t>col. 10 - col. 14 &gt; 0, use, otherwise 0</t>
  </si>
  <si>
    <t>If col. 18-col. 14&gt;0, use, otherwise  0</t>
  </si>
  <si>
    <t>If col. 18-col. 14&lt;0, use, otherwise 0</t>
  </si>
  <si>
    <t>If (1-{ (1-.4) x col. 11}) x col. 22 &gt; 0, use, otherwise 0</t>
  </si>
  <si>
    <t>If ((1-{ (1-.4) x col. 11}) x col. 21) - col. 23 &gt; 0, use, otherwise 0</t>
  </si>
  <si>
    <t>cols. 23+16</t>
  </si>
  <si>
    <t>col. 27/ col. 1</t>
  </si>
  <si>
    <t>Table 4, col. 27</t>
  </si>
  <si>
    <t>col. 29 /col. 1</t>
  </si>
  <si>
    <t>Col. 27 + col. 29</t>
  </si>
  <si>
    <t>col.31 - Table 2, col. 8</t>
  </si>
  <si>
    <t>col. 31/ col. 41</t>
  </si>
  <si>
    <t>cols. 14+22</t>
  </si>
  <si>
    <t>col. 37/ col. 1</t>
  </si>
  <si>
    <t>col. 37/col.41</t>
  </si>
  <si>
    <t>cols. 31 + 37</t>
  </si>
  <si>
    <t>col.41 / col.1</t>
  </si>
  <si>
    <t>Table 3, col. 27</t>
  </si>
  <si>
    <t>col. 1 / table 3, col.1</t>
  </si>
  <si>
    <t>Table 3, total of col.33</t>
  </si>
  <si>
    <t>col. 1 * col. 2</t>
  </si>
  <si>
    <t>Oct. 2,</t>
  </si>
  <si>
    <t>Table 8, col.19</t>
  </si>
  <si>
    <t>(5a) Hidden</t>
  </si>
  <si>
    <t>Hardcode from ISIS</t>
  </si>
  <si>
    <t>Monthly $ * 8</t>
  </si>
  <si>
    <t>Monthly distribution per ISIS</t>
  </si>
  <si>
    <t>(6a)</t>
  </si>
  <si>
    <t>Lab Schools:</t>
  </si>
  <si>
    <t>Southern</t>
  </si>
  <si>
    <t>Subtotal</t>
  </si>
  <si>
    <t>Total</t>
  </si>
  <si>
    <t>Total Allocation with Adjustments</t>
  </si>
  <si>
    <t>Total Allocation for the Four Remaining Months</t>
  </si>
  <si>
    <t>col. 8/12</t>
  </si>
  <si>
    <t xml:space="preserve">Per SCR 139  </t>
  </si>
  <si>
    <t xml:space="preserve">Hold Harmless Per Pupil Amount </t>
  </si>
  <si>
    <t>link to backup file</t>
  </si>
  <si>
    <t>Level 2 Funding Calculation</t>
  </si>
  <si>
    <t>Total Adjustments</t>
  </si>
  <si>
    <t>Student Audit Adjustment X 2000-01 $</t>
  </si>
  <si>
    <t>Dollar Adjustment X Adjusted membership</t>
  </si>
  <si>
    <t>cols. 4-8</t>
  </si>
  <si>
    <t>Per Pupil based on October 1 Membership</t>
  </si>
  <si>
    <t>Student Audit Adjustments</t>
  </si>
  <si>
    <r>
      <t xml:space="preserve">Change </t>
    </r>
    <r>
      <rPr>
        <b/>
        <sz val="8"/>
        <rFont val="Arial"/>
        <family val="2"/>
      </rPr>
      <t>(Increases)</t>
    </r>
  </si>
  <si>
    <t>Circular # 1066                  2001-2002                         MFP Budget Letter</t>
  </si>
  <si>
    <t>R.S. 17:350.21 Lab School Funding</t>
  </si>
  <si>
    <t>State Total</t>
  </si>
  <si>
    <t>2001-02 Bud Letter Table 4, col 1</t>
  </si>
  <si>
    <t>Change in MFP Distribution between 2001-2002 and 2002-2003</t>
  </si>
  <si>
    <t>Increases in MFP Funding for 2002-2003</t>
  </si>
  <si>
    <t>Decreases in MFP Funding for 2002-2003</t>
  </si>
  <si>
    <t>2002-2003    STATE SHARE OF COST (HOLD HARMLESS)</t>
  </si>
  <si>
    <t>2002-2003 MFP State Share of Levels 1, 2,  and 3</t>
  </si>
  <si>
    <t>2002-2003 Total MFP Distribution with Adjustments</t>
  </si>
  <si>
    <t>Total MFP Amount Distributed July 2002 through Feb 2003</t>
  </si>
  <si>
    <t>MFP Balance to be Distributed for 2002-2003</t>
  </si>
  <si>
    <t>2001-02 Bud Ltr, table 2, col. 4</t>
  </si>
  <si>
    <t>Change in MFP Distribution between 2001-02 and 2002-03</t>
  </si>
  <si>
    <t xml:space="preserve">2002-2003        Per Pupil State Share            (Levels 1, 2, &amp; 3) </t>
  </si>
  <si>
    <t>MFP 2003 STATE &amp; LOCAL COST PER OCT 1 MEMBERSHIP</t>
  </si>
  <si>
    <t>Table 3, Col 33</t>
  </si>
  <si>
    <t>OCT. 1, 2002 WEIGHTED STUDENT MEMBERSHIP</t>
  </si>
  <si>
    <t>col. 34+col.30+col. 26</t>
  </si>
  <si>
    <t>MFP Appropriation (M-L)</t>
  </si>
  <si>
    <t>set by resolution</t>
  </si>
  <si>
    <t>TOTAL LEVEL 3 UNEQUALIZED FUNDING</t>
  </si>
  <si>
    <t>Oct 1, 2001 Membership</t>
  </si>
  <si>
    <t>Minimum Pay Supplement Per Pupil Amount</t>
  </si>
  <si>
    <t>2001-02 Minimum Pay Enhancement Supplement</t>
  </si>
  <si>
    <t>2001-02 BL, Table 4, col 17</t>
  </si>
  <si>
    <t>2001-02 BL, Table 8, col 19</t>
  </si>
  <si>
    <t>Increased MFP Funding (L1&amp;2) After Adjustment for Student Increases</t>
  </si>
  <si>
    <t>2001-02 Minimum Pay Continuation Supplement</t>
  </si>
  <si>
    <t>2001- 02 Pay Raise Continuation</t>
  </si>
  <si>
    <t>(col. 2 * Table 8, col. 22)*-1</t>
  </si>
  <si>
    <t xml:space="preserve">2001-2002 MFP   Budget Letter                                       Total Distribution with Audit Adjustments </t>
  </si>
  <si>
    <t>2002-03 Pay Raise Requirement</t>
  </si>
  <si>
    <t>MFP State Average Per Pupil 2002-03</t>
  </si>
  <si>
    <t>Table 3 col. 8.</t>
  </si>
  <si>
    <t>00-01 actual X 17%</t>
  </si>
  <si>
    <t>00-01 actual X 5%</t>
  </si>
  <si>
    <t>00-01 actual X 150%</t>
  </si>
  <si>
    <t>00-01 actual X  60%</t>
  </si>
  <si>
    <t>Table 7, col. 36</t>
  </si>
  <si>
    <t>col. 31/ col. 1</t>
  </si>
  <si>
    <t>col. 1 - col. 4</t>
  </si>
  <si>
    <t>If col. 5 &gt;0, then col. 5 otherwise 0</t>
  </si>
  <si>
    <t>col. 6 / table 3, col. 1</t>
  </si>
  <si>
    <t>If col. 5 &lt; 0, then col. 5 othewise 0</t>
  </si>
  <si>
    <t>col. 6 +  col. 10</t>
  </si>
  <si>
    <t>Col 15 * Table 3, col 1</t>
  </si>
  <si>
    <t>col. 13 / 14</t>
  </si>
  <si>
    <t>2001-02 BL, Table 4, col. 21</t>
  </si>
  <si>
    <t>$below * col. 18</t>
  </si>
  <si>
    <t>col 21 times Oct 1 membership (table 3, col 1)</t>
  </si>
  <si>
    <t>If col 22 &gt;col. 23 then col. 23, otherwise col. 22</t>
  </si>
  <si>
    <t>cols. 16+20+24</t>
  </si>
  <si>
    <t>col. 6/12</t>
  </si>
  <si>
    <t>col. 11 / 2/1.131</t>
  </si>
  <si>
    <t xml:space="preserve">(4) </t>
  </si>
  <si>
    <t>Due District (+)</t>
  </si>
  <si>
    <t>Total Revenue for Use in MFP Level 2</t>
  </si>
  <si>
    <t xml:space="preserve">  Oct.1, 2002 Student Membership  (per SIS)</t>
  </si>
  <si>
    <t>Number of Foreign Associate Teachers - - FY 2002-2003</t>
  </si>
  <si>
    <t>Table 8- Oct 1, 2002 MFP Student Membership</t>
  </si>
  <si>
    <t/>
  </si>
  <si>
    <t>Adjusted</t>
  </si>
  <si>
    <r>
      <t xml:space="preserve">Change  </t>
    </r>
    <r>
      <rPr>
        <b/>
        <sz val="8"/>
        <rFont val="Arial"/>
        <family val="2"/>
      </rPr>
      <t>(Decreases)</t>
    </r>
  </si>
  <si>
    <t>Comparison of 2001-02 Budget Letter to 2002-03 Budget Letter</t>
  </si>
  <si>
    <t>TABLE 5: FY 2002-2003 ALLOCATION FOR THE LAB. SCHOOLS</t>
  </si>
  <si>
    <t xml:space="preserve">Table 7, col. 34.  </t>
  </si>
  <si>
    <t xml:space="preserve">2001-2002 ACTUAL REVENUES  (INCLUDING DEBT) </t>
  </si>
  <si>
    <t xml:space="preserve">   PROPERTY AND SALES CAPACITY                                       </t>
  </si>
  <si>
    <t>2002-2003 STATE SHARE OF COST (LEVELS 1, 2, &amp; 3)</t>
  </si>
  <si>
    <t>LEVELS 1 and 2  LOCAL SHARE OF COST</t>
  </si>
  <si>
    <t>TOTAL STATE AND LOCAL COST of Levels 1, 2 and 3</t>
  </si>
  <si>
    <t xml:space="preserve">  2001 ASSESSED PROPERTY VALUE</t>
  </si>
  <si>
    <t>col. 5 + col. 7 + col. 11</t>
  </si>
  <si>
    <t>col. 14 + col. 18</t>
  </si>
  <si>
    <t>TOTAL AD VALOREM TAXES         (DEBT)</t>
  </si>
  <si>
    <t>La. Tax Commission Tables 41 &amp; 43</t>
  </si>
  <si>
    <t>col. 1 - col. 2</t>
  </si>
  <si>
    <t>AFR-kpc 62220 col. 3</t>
  </si>
  <si>
    <t>AFR-kpc 62220 col. 4</t>
  </si>
  <si>
    <t>AFR-kpc 62320 col. 3</t>
  </si>
  <si>
    <t>AFR-kpc 62320 col. 4</t>
  </si>
  <si>
    <t>AFR-kpc 62320 col. 5</t>
  </si>
  <si>
    <t>AFR-kpc 62320 col. 6</t>
  </si>
  <si>
    <t>AFR-kpc 62320 col. 7</t>
  </si>
  <si>
    <t>AFR-kpc 62320 col. 8</t>
  </si>
  <si>
    <t>AFR-kpc 62620 col. 3</t>
  </si>
  <si>
    <t>AFR-kpc 62620 col. 4</t>
  </si>
  <si>
    <t>AFR-kpc 62620 col. 5</t>
  </si>
  <si>
    <t>AFR-kpc 62620 col. 6</t>
  </si>
  <si>
    <t>AFR-kpc 62620 col. 7</t>
  </si>
  <si>
    <t>AFR-kpc 62620 col. 8</t>
  </si>
  <si>
    <t>col. 4 + col. 6 + col 13</t>
  </si>
  <si>
    <t>col. 5 + col. 7 + col 14</t>
  </si>
  <si>
    <t>col. 11 + col. 18</t>
  </si>
  <si>
    <t>(col. 19/ col. 3)*1000</t>
  </si>
  <si>
    <t>(col. 12/ col. 3)*1000</t>
  </si>
  <si>
    <t>TOTAL AD VALOREM REVENUE INCLUDING DEBT</t>
  </si>
  <si>
    <t>col. 12 + col. 19</t>
  </si>
  <si>
    <t>(col. 26/ col. 3)*1000</t>
  </si>
  <si>
    <t>AFR-kpc 63300 col. 3</t>
  </si>
  <si>
    <t>TOTAL SALES TAX REVENUE</t>
  </si>
  <si>
    <t>col. 28 + col. 29</t>
  </si>
  <si>
    <t>col. 30/ col 27</t>
  </si>
  <si>
    <t>col. 28/ col. 31</t>
  </si>
  <si>
    <t>col. 29/ col. 31</t>
  </si>
  <si>
    <t>AFR kpcs 1210, 1220, 8231, 8232, 8233, 8234, 8240, 14200, 14300, 14400</t>
  </si>
  <si>
    <t xml:space="preserve">Sales and Property Tax Revenues (Including Debt) Plus Other Revenue </t>
  </si>
  <si>
    <t xml:space="preserve">STATE AID LEVEL 2 </t>
  </si>
  <si>
    <t>2002-2003             Levels 1 and 2 STATE SHARE OF COST</t>
  </si>
  <si>
    <t xml:space="preserve">2002-2003 Level 3 STATE SHARE OF COST  </t>
  </si>
  <si>
    <t>Circular # 1071                  2002-2003                         MFP Budget Letter</t>
  </si>
  <si>
    <t xml:space="preserve">2001-02 Adjusted Budget Letter                                        Level 1 &amp; 2 </t>
  </si>
  <si>
    <t>SUMMARY OF AD VALOREM TAXES</t>
  </si>
  <si>
    <t>Adjustment for Increased Students - Amount Subtracted From 2002-2003 MPF Increase</t>
  </si>
  <si>
    <t xml:space="preserve">Current Year Hold Harmless Amount </t>
  </si>
  <si>
    <t>Lesser Amount of Current Year or Amount Not To Exceed</t>
  </si>
  <si>
    <r>
      <t xml:space="preserve">50% Distriubtion Amount for Certificated Pay Increase </t>
    </r>
    <r>
      <rPr>
        <b/>
        <sz val="10"/>
        <color indexed="20"/>
        <rFont val="Arial"/>
        <family val="2"/>
      </rPr>
      <t>Exclusive</t>
    </r>
    <r>
      <rPr>
        <b/>
        <sz val="10"/>
        <color indexed="18"/>
        <rFont val="Arial"/>
        <family val="2"/>
      </rPr>
      <t xml:space="preserve"> of Retirement Contribution</t>
    </r>
  </si>
  <si>
    <t xml:space="preserve"> Based on October 1, 2002 Membership</t>
  </si>
  <si>
    <t>Adjustment of 2001-02 Per Pupil Amount</t>
  </si>
  <si>
    <t>Amount Allocated July 2002 through February 2003</t>
  </si>
  <si>
    <t>Monthly Payments for March through June 2003</t>
  </si>
  <si>
    <t xml:space="preserve">Initial </t>
  </si>
  <si>
    <t>Final</t>
  </si>
  <si>
    <t>Monthly Payments</t>
  </si>
  <si>
    <t>TABLE 6 - CALCULATION OF LOCAL WEALTH FACTOR (LWF) AND THE EFFORT INDEX - FY 02-03</t>
  </si>
  <si>
    <t xml:space="preserve">           The FY 01-02 adjustment to the Per Pupil amount is the result of a change in the state average per pupil amount per the FY 01-02 adjusted budget letter.  This change</t>
  </si>
  <si>
    <r>
      <t>Note:</t>
    </r>
    <r>
      <rPr>
        <sz val="10"/>
        <color indexed="18"/>
        <rFont val="Arial"/>
        <family val="2"/>
      </rPr>
      <t xml:space="preserve">  There were no adjustments to the October 1, 2001 student count as a result of student audits for either LSU or SU Lab. School.</t>
    </r>
  </si>
  <si>
    <t>2001-2002 Adjustments Due to Student, CAFR/AFR  and PEP Audits</t>
  </si>
  <si>
    <t xml:space="preserve">TABLE 1: STATE LEVEL COMPARISON </t>
  </si>
  <si>
    <t>Due State (-)</t>
  </si>
  <si>
    <t xml:space="preserve">Weighted Add-on Students At Risk </t>
  </si>
  <si>
    <t xml:space="preserve">Weighted Add-On Units    Voc. Ed. </t>
  </si>
  <si>
    <t xml:space="preserve"> 2002-2003   Levels 1 and 2 STATE SHARE per October 1 Membership   </t>
  </si>
  <si>
    <r>
      <t xml:space="preserve">            is </t>
    </r>
    <r>
      <rPr>
        <sz val="10"/>
        <color indexed="10"/>
        <rFont val="Arial"/>
        <family val="2"/>
      </rPr>
      <t>-$1.16</t>
    </r>
    <r>
      <rPr>
        <sz val="10"/>
        <color indexed="18"/>
        <rFont val="Arial"/>
        <family val="2"/>
      </rPr>
      <t xml:space="preserve"> per student; the difference between the original per pupil amount of $3347.30 per student and the adjusted amount of $3346.14 per student.</t>
    </r>
  </si>
  <si>
    <t>GRADE LEVELS</t>
  </si>
  <si>
    <t>Monthly Payments March 2003 through June 2003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</si>
</sst>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0.000"/>
    <numFmt numFmtId="169" formatCode="0.0000"/>
    <numFmt numFmtId="170" formatCode="0.00000"/>
    <numFmt numFmtId="171" formatCode="0.0000000"/>
    <numFmt numFmtId="172" formatCode="0.000000"/>
    <numFmt numFmtId="173" formatCode="0.0%"/>
    <numFmt numFmtId="174" formatCode="#,##0.0"/>
    <numFmt numFmtId="175" formatCode="&quot;$&quot;#,##0.0_);[Red]\(&quot;$&quot;#,##0.0\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_);_(* \(#,##0.000000\);_(* &quot;-&quot;??????_);_(@_)"/>
    <numFmt numFmtId="183" formatCode="#,##0.000"/>
    <numFmt numFmtId="184" formatCode="#,##0.0000"/>
    <numFmt numFmtId="185" formatCode="#,##0.00000"/>
    <numFmt numFmtId="186" formatCode="#,##0.000000"/>
    <numFmt numFmtId="187" formatCode="&quot;$&quot;#,##0.0"/>
    <numFmt numFmtId="188" formatCode="&quot;$&quot;#,##0.00"/>
    <numFmt numFmtId="189" formatCode="dd\-mmm\-yy_)"/>
    <numFmt numFmtId="190" formatCode="&quot;$&quot;#,##0.0_);\(&quot;$&quot;#,##0.0\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#,##0.00;[Red]#,##0.00"/>
    <numFmt numFmtId="194" formatCode="&quot;$&quot;#,##0.00;[Red]&quot;$&quot;#,##0.00"/>
    <numFmt numFmtId="195" formatCode="&quot;$&quot;#,##0.0;[Red]&quot;$&quot;#,##0.0"/>
    <numFmt numFmtId="196" formatCode="&quot;$&quot;#,##0;[Red]&quot;$&quot;#,##0"/>
    <numFmt numFmtId="197" formatCode="0.000%"/>
    <numFmt numFmtId="198" formatCode="#,##0.0_);\(#,##0.0\)"/>
    <numFmt numFmtId="199" formatCode="&quot;$&quot;#,##0.000_);\(&quot;$&quot;#,##0.000\)"/>
    <numFmt numFmtId="200" formatCode="&quot;$&quot;#,##0.000_);[Red]\(&quot;$&quot;#,##0.000\)"/>
    <numFmt numFmtId="201" formatCode="dd\-mmm\-yy"/>
    <numFmt numFmtId="202" formatCode="_(* #,##0.0_);_(* \(#,##0.0\);_(* &quot;-&quot;?_);_(@_)"/>
    <numFmt numFmtId="203" formatCode="0.0000%"/>
    <numFmt numFmtId="204" formatCode="0.00000%"/>
    <numFmt numFmtId="205" formatCode="0.000000%"/>
    <numFmt numFmtId="206" formatCode="&quot;$&quot;#,##0.0000_);\(&quot;$&quot;#,##0.0000\)"/>
    <numFmt numFmtId="207" formatCode="&quot;$&quot;#,##0.000"/>
    <numFmt numFmtId="208" formatCode="&quot;$&quot;#,##0.0000"/>
    <numFmt numFmtId="209" formatCode="#,##0.0000000"/>
    <numFmt numFmtId="210" formatCode="#,##0.00000000"/>
    <numFmt numFmtId="211" formatCode="#,##0.000000000"/>
    <numFmt numFmtId="212" formatCode="0.000_);[Red]\(0.000\)"/>
    <numFmt numFmtId="213" formatCode="#,##0.0_);[Red]\(#,##0.0\)"/>
  </numFmts>
  <fonts count="57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20"/>
      <name val="Arial Narrow"/>
      <family val="2"/>
    </font>
    <font>
      <sz val="18"/>
      <color indexed="12"/>
      <name val="Impact"/>
      <family val="2"/>
    </font>
    <font>
      <b/>
      <sz val="18"/>
      <name val="Arial Narrow"/>
      <family val="2"/>
    </font>
    <font>
      <b/>
      <i/>
      <sz val="1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20"/>
      <color indexed="20"/>
      <name val="Arial Narrow"/>
      <family val="2"/>
    </font>
    <font>
      <b/>
      <sz val="12"/>
      <color indexed="62"/>
      <name val="Arial Narrow"/>
      <family val="2"/>
    </font>
    <font>
      <sz val="12"/>
      <color indexed="62"/>
      <name val="Arial Narrow"/>
      <family val="2"/>
    </font>
    <font>
      <sz val="10"/>
      <color indexed="62"/>
      <name val="Arial"/>
      <family val="2"/>
    </font>
    <font>
      <b/>
      <sz val="10"/>
      <color indexed="20"/>
      <name val="Arial"/>
      <family val="2"/>
    </font>
    <font>
      <b/>
      <sz val="10"/>
      <color indexed="20"/>
      <name val="Arial Narrow"/>
      <family val="2"/>
    </font>
    <font>
      <b/>
      <sz val="12"/>
      <color indexed="18"/>
      <name val="Arial Narrow"/>
      <family val="2"/>
    </font>
    <font>
      <sz val="10"/>
      <color indexed="18"/>
      <name val="Arial"/>
      <family val="0"/>
    </font>
    <font>
      <b/>
      <i/>
      <sz val="10"/>
      <color indexed="18"/>
      <name val="Arial Narrow"/>
      <family val="2"/>
    </font>
    <font>
      <b/>
      <sz val="18"/>
      <color indexed="20"/>
      <name val="Arial Narrow"/>
      <family val="2"/>
    </font>
    <font>
      <b/>
      <sz val="10"/>
      <color indexed="18"/>
      <name val="Arial"/>
      <family val="2"/>
    </font>
    <font>
      <b/>
      <i/>
      <sz val="18"/>
      <color indexed="20"/>
      <name val="Arial Narrow"/>
      <family val="2"/>
    </font>
    <font>
      <b/>
      <i/>
      <sz val="10"/>
      <name val="Arial"/>
      <family val="2"/>
    </font>
    <font>
      <b/>
      <sz val="16"/>
      <color indexed="20"/>
      <name val="Arial Narrow"/>
      <family val="2"/>
    </font>
    <font>
      <sz val="10"/>
      <color indexed="20"/>
      <name val="Arial Narrow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i/>
      <sz val="20"/>
      <name val="Arial"/>
      <family val="2"/>
    </font>
    <font>
      <b/>
      <sz val="12"/>
      <color indexed="12"/>
      <name val="CG Omega (PCL6)"/>
      <family val="2"/>
    </font>
    <font>
      <b/>
      <i/>
      <sz val="10"/>
      <color indexed="12"/>
      <name val="Arial"/>
      <family val="2"/>
    </font>
    <font>
      <b/>
      <i/>
      <sz val="21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sz val="9"/>
      <name val="Arial Narrow"/>
      <family val="2"/>
    </font>
    <font>
      <sz val="9"/>
      <name val="Arial"/>
      <family val="0"/>
    </font>
    <font>
      <sz val="9"/>
      <color indexed="8"/>
      <name val="Arial Narrow"/>
      <family val="2"/>
    </font>
    <font>
      <sz val="10"/>
      <name val="CG Times"/>
      <family val="1"/>
    </font>
    <font>
      <b/>
      <u val="single"/>
      <sz val="10"/>
      <name val="Arial"/>
      <family val="2"/>
    </font>
    <font>
      <sz val="12"/>
      <color indexed="18"/>
      <name val="Arial Narrow"/>
      <family val="2"/>
    </font>
    <font>
      <b/>
      <sz val="16"/>
      <color indexed="10"/>
      <name val="Arial"/>
      <family val="2"/>
    </font>
    <font>
      <sz val="11"/>
      <color indexed="1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62"/>
      <name val="Arial"/>
      <family val="2"/>
    </font>
    <font>
      <sz val="10"/>
      <color indexed="8"/>
      <name val="Arial Narrow"/>
      <family val="2"/>
    </font>
    <font>
      <b/>
      <sz val="8"/>
      <name val="Times New Roman"/>
      <family val="1"/>
    </font>
    <font>
      <sz val="9"/>
      <color indexed="18"/>
      <name val="Arial"/>
      <family val="2"/>
    </font>
    <font>
      <i/>
      <sz val="10"/>
      <color indexed="1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3">
    <border>
      <left/>
      <right/>
      <top/>
      <bottom/>
      <diagonal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double"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medium"/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>
        <color indexed="63"/>
      </top>
      <bottom style="double">
        <color indexed="63"/>
      </bottom>
    </border>
    <border>
      <left style="thin"/>
      <right style="thin"/>
      <top>
        <color indexed="63"/>
      </top>
      <bottom style="double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medium"/>
      <right style="thin"/>
      <top>
        <color indexed="63"/>
      </top>
      <bottom style="double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/>
      <bottom style="thin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171" fontId="0" fillId="0" borderId="0" xfId="0" applyNumberFormat="1" applyFont="1" applyAlignment="1">
      <alignment/>
    </xf>
    <xf numFmtId="166" fontId="0" fillId="0" borderId="0" xfId="15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5" fontId="0" fillId="0" borderId="1" xfId="0" applyNumberFormat="1" applyFont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5" fontId="0" fillId="0" borderId="3" xfId="0" applyNumberFormat="1" applyFont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5" fontId="0" fillId="0" borderId="1" xfId="0" applyNumberFormat="1" applyFont="1" applyFill="1" applyBorder="1" applyAlignment="1" applyProtection="1">
      <alignment/>
      <protection/>
    </xf>
    <xf numFmtId="5" fontId="4" fillId="0" borderId="1" xfId="0" applyNumberFormat="1" applyFont="1" applyFill="1" applyBorder="1" applyAlignment="1" applyProtection="1">
      <alignment/>
      <protection/>
    </xf>
    <xf numFmtId="5" fontId="4" fillId="0" borderId="3" xfId="0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66" fontId="0" fillId="0" borderId="4" xfId="15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171" fontId="0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167" fontId="0" fillId="0" borderId="5" xfId="0" applyNumberFormat="1" applyFont="1" applyBorder="1" applyAlignment="1">
      <alignment/>
    </xf>
    <xf numFmtId="3" fontId="0" fillId="0" borderId="5" xfId="15" applyNumberFormat="1" applyFont="1" applyBorder="1" applyAlignment="1">
      <alignment/>
    </xf>
    <xf numFmtId="179" fontId="0" fillId="0" borderId="5" xfId="15" applyNumberFormat="1" applyFont="1" applyBorder="1" applyAlignment="1">
      <alignment/>
    </xf>
    <xf numFmtId="186" fontId="0" fillId="0" borderId="5" xfId="0" applyNumberFormat="1" applyFont="1" applyBorder="1" applyAlignment="1">
      <alignment/>
    </xf>
    <xf numFmtId="10" fontId="0" fillId="0" borderId="5" xfId="21" applyNumberFormat="1" applyFont="1" applyBorder="1" applyAlignment="1">
      <alignment/>
    </xf>
    <xf numFmtId="167" fontId="4" fillId="0" borderId="5" xfId="0" applyNumberFormat="1" applyFont="1" applyBorder="1" applyAlignment="1">
      <alignment/>
    </xf>
    <xf numFmtId="10" fontId="0" fillId="0" borderId="5" xfId="0" applyNumberFormat="1" applyFont="1" applyBorder="1" applyAlignment="1">
      <alignment/>
    </xf>
    <xf numFmtId="6" fontId="0" fillId="0" borderId="5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179" fontId="4" fillId="0" borderId="5" xfId="15" applyNumberFormat="1" applyFont="1" applyBorder="1" applyAlignment="1">
      <alignment/>
    </xf>
    <xf numFmtId="43" fontId="0" fillId="0" borderId="5" xfId="15" applyFont="1" applyBorder="1" applyAlignment="1">
      <alignment/>
    </xf>
    <xf numFmtId="172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167" fontId="0" fillId="0" borderId="7" xfId="0" applyNumberFormat="1" applyFont="1" applyBorder="1" applyAlignment="1">
      <alignment/>
    </xf>
    <xf numFmtId="179" fontId="0" fillId="0" borderId="7" xfId="15" applyNumberFormat="1" applyFont="1" applyBorder="1" applyAlignment="1">
      <alignment/>
    </xf>
    <xf numFmtId="186" fontId="0" fillId="0" borderId="7" xfId="0" applyNumberFormat="1" applyFont="1" applyBorder="1" applyAlignment="1">
      <alignment/>
    </xf>
    <xf numFmtId="10" fontId="0" fillId="0" borderId="7" xfId="21" applyNumberFormat="1" applyFont="1" applyBorder="1" applyAlignment="1">
      <alignment/>
    </xf>
    <xf numFmtId="167" fontId="4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179" fontId="4" fillId="0" borderId="7" xfId="15" applyNumberFormat="1" applyFont="1" applyBorder="1" applyAlignment="1">
      <alignment/>
    </xf>
    <xf numFmtId="0" fontId="3" fillId="0" borderId="0" xfId="0" applyFont="1" applyAlignment="1">
      <alignment/>
    </xf>
    <xf numFmtId="5" fontId="0" fillId="0" borderId="0" xfId="0" applyNumberFormat="1" applyFont="1" applyAlignment="1">
      <alignment/>
    </xf>
    <xf numFmtId="2" fontId="0" fillId="0" borderId="5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6" fontId="0" fillId="0" borderId="7" xfId="0" applyNumberFormat="1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/>
    </xf>
    <xf numFmtId="5" fontId="8" fillId="0" borderId="26" xfId="0" applyNumberFormat="1" applyFont="1" applyFill="1" applyBorder="1" applyAlignment="1" applyProtection="1">
      <alignment/>
      <protection/>
    </xf>
    <xf numFmtId="0" fontId="6" fillId="0" borderId="1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/>
    </xf>
    <xf numFmtId="5" fontId="8" fillId="0" borderId="28" xfId="0" applyNumberFormat="1" applyFont="1" applyFill="1" applyBorder="1" applyAlignment="1" applyProtection="1">
      <alignment/>
      <protection/>
    </xf>
    <xf numFmtId="0" fontId="6" fillId="0" borderId="29" xfId="0" applyFont="1" applyFill="1" applyBorder="1" applyAlignment="1">
      <alignment horizontal="center"/>
    </xf>
    <xf numFmtId="37" fontId="8" fillId="0" borderId="30" xfId="0" applyNumberFormat="1" applyFont="1" applyFill="1" applyBorder="1" applyAlignment="1" applyProtection="1">
      <alignment/>
      <protection/>
    </xf>
    <xf numFmtId="5" fontId="6" fillId="0" borderId="28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>
      <alignment horizontal="center"/>
    </xf>
    <xf numFmtId="37" fontId="8" fillId="0" borderId="31" xfId="0" applyNumberFormat="1" applyFont="1" applyFill="1" applyBorder="1" applyAlignment="1" applyProtection="1">
      <alignment horizontal="right"/>
      <protection/>
    </xf>
    <xf numFmtId="5" fontId="6" fillId="0" borderId="14" xfId="0" applyNumberFormat="1" applyFont="1" applyFill="1" applyBorder="1" applyAlignment="1" applyProtection="1">
      <alignment/>
      <protection/>
    </xf>
    <xf numFmtId="0" fontId="6" fillId="0" borderId="25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10" fontId="8" fillId="0" borderId="26" xfId="0" applyNumberFormat="1" applyFont="1" applyFill="1" applyBorder="1" applyAlignment="1" applyProtection="1">
      <alignment/>
      <protection/>
    </xf>
    <xf numFmtId="39" fontId="8" fillId="0" borderId="26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5" fontId="6" fillId="0" borderId="18" xfId="0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 horizontal="right"/>
    </xf>
    <xf numFmtId="7" fontId="3" fillId="0" borderId="0" xfId="17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9" fontId="3" fillId="0" borderId="5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9" fontId="15" fillId="0" borderId="5" xfId="0" applyNumberFormat="1" applyFont="1" applyBorder="1" applyAlignment="1">
      <alignment/>
    </xf>
    <xf numFmtId="5" fontId="4" fillId="0" borderId="32" xfId="0" applyNumberFormat="1" applyFont="1" applyFill="1" applyBorder="1" applyAlignment="1" applyProtection="1">
      <alignment/>
      <protection/>
    </xf>
    <xf numFmtId="166" fontId="0" fillId="0" borderId="1" xfId="15" applyNumberFormat="1" applyFont="1" applyFill="1" applyBorder="1" applyAlignment="1" applyProtection="1">
      <alignment/>
      <protection/>
    </xf>
    <xf numFmtId="0" fontId="18" fillId="0" borderId="33" xfId="0" applyFont="1" applyFill="1" applyBorder="1" applyAlignment="1">
      <alignment/>
    </xf>
    <xf numFmtId="0" fontId="17" fillId="0" borderId="15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5" fontId="17" fillId="0" borderId="34" xfId="0" applyNumberFormat="1" applyFont="1" applyFill="1" applyBorder="1" applyAlignment="1" applyProtection="1">
      <alignment/>
      <protection/>
    </xf>
    <xf numFmtId="9" fontId="21" fillId="3" borderId="35" xfId="0" applyNumberFormat="1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6" fillId="0" borderId="6" xfId="0" applyFont="1" applyBorder="1" applyAlignment="1">
      <alignment/>
    </xf>
    <xf numFmtId="5" fontId="26" fillId="0" borderId="6" xfId="17" applyNumberFormat="1" applyFont="1" applyBorder="1" applyAlignment="1">
      <alignment/>
    </xf>
    <xf numFmtId="6" fontId="26" fillId="0" borderId="6" xfId="0" applyNumberFormat="1" applyFont="1" applyBorder="1" applyAlignment="1">
      <alignment/>
    </xf>
    <xf numFmtId="0" fontId="26" fillId="2" borderId="2" xfId="0" applyFont="1" applyFill="1" applyBorder="1" applyAlignment="1" applyProtection="1">
      <alignment horizontal="center"/>
      <protection/>
    </xf>
    <xf numFmtId="5" fontId="26" fillId="4" borderId="2" xfId="0" applyNumberFormat="1" applyFont="1" applyFill="1" applyBorder="1" applyAlignment="1" applyProtection="1">
      <alignment/>
      <protection/>
    </xf>
    <xf numFmtId="5" fontId="26" fillId="2" borderId="2" xfId="0" applyNumberFormat="1" applyFont="1" applyFill="1" applyBorder="1" applyAlignment="1" applyProtection="1">
      <alignment/>
      <protection/>
    </xf>
    <xf numFmtId="9" fontId="21" fillId="3" borderId="35" xfId="21" applyFont="1" applyFill="1" applyBorder="1" applyAlignment="1">
      <alignment horizontal="right"/>
    </xf>
    <xf numFmtId="0" fontId="30" fillId="0" borderId="4" xfId="0" applyFont="1" applyBorder="1" applyAlignment="1">
      <alignment horizontal="center"/>
    </xf>
    <xf numFmtId="9" fontId="21" fillId="3" borderId="35" xfId="0" applyNumberFormat="1" applyFont="1" applyFill="1" applyBorder="1" applyAlignment="1">
      <alignment horizontal="right"/>
    </xf>
    <xf numFmtId="3" fontId="26" fillId="0" borderId="6" xfId="0" applyNumberFormat="1" applyFont="1" applyBorder="1" applyAlignment="1">
      <alignment/>
    </xf>
    <xf numFmtId="171" fontId="26" fillId="0" borderId="6" xfId="0" applyNumberFormat="1" applyFont="1" applyBorder="1" applyAlignment="1">
      <alignment/>
    </xf>
    <xf numFmtId="10" fontId="26" fillId="0" borderId="6" xfId="0" applyNumberFormat="1" applyFont="1" applyBorder="1" applyAlignment="1">
      <alignment/>
    </xf>
    <xf numFmtId="10" fontId="26" fillId="0" borderId="6" xfId="21" applyNumberFormat="1" applyFont="1" applyBorder="1" applyAlignment="1">
      <alignment/>
    </xf>
    <xf numFmtId="0" fontId="25" fillId="0" borderId="0" xfId="0" applyFont="1" applyAlignment="1">
      <alignment horizontal="left"/>
    </xf>
    <xf numFmtId="9" fontId="21" fillId="3" borderId="4" xfId="0" applyNumberFormat="1" applyFont="1" applyFill="1" applyBorder="1" applyAlignment="1">
      <alignment horizontal="center"/>
    </xf>
    <xf numFmtId="8" fontId="26" fillId="0" borderId="6" xfId="0" applyNumberFormat="1" applyFont="1" applyBorder="1" applyAlignment="1">
      <alignment/>
    </xf>
    <xf numFmtId="0" fontId="25" fillId="0" borderId="0" xfId="0" applyFont="1" applyAlignment="1">
      <alignment/>
    </xf>
    <xf numFmtId="179" fontId="26" fillId="0" borderId="6" xfId="15" applyNumberFormat="1" applyFont="1" applyBorder="1" applyAlignment="1">
      <alignment/>
    </xf>
    <xf numFmtId="37" fontId="26" fillId="0" borderId="6" xfId="17" applyNumberFormat="1" applyFont="1" applyBorder="1" applyAlignment="1">
      <alignment/>
    </xf>
    <xf numFmtId="43" fontId="26" fillId="0" borderId="6" xfId="15" applyFont="1" applyBorder="1" applyAlignment="1">
      <alignment/>
    </xf>
    <xf numFmtId="6" fontId="0" fillId="0" borderId="1" xfId="0" applyNumberFormat="1" applyFont="1" applyFill="1" applyBorder="1" applyAlignment="1" applyProtection="1">
      <alignment/>
      <protection/>
    </xf>
    <xf numFmtId="0" fontId="23" fillId="5" borderId="35" xfId="0" applyFont="1" applyFill="1" applyBorder="1" applyAlignment="1">
      <alignment horizontal="center" wrapText="1"/>
    </xf>
    <xf numFmtId="0" fontId="19" fillId="5" borderId="35" xfId="0" applyFont="1" applyFill="1" applyBorder="1" applyAlignment="1">
      <alignment horizontal="center" wrapText="1"/>
    </xf>
    <xf numFmtId="0" fontId="31" fillId="5" borderId="35" xfId="0" applyFont="1" applyFill="1" applyBorder="1" applyAlignment="1">
      <alignment horizontal="center" wrapText="1"/>
    </xf>
    <xf numFmtId="38" fontId="8" fillId="0" borderId="26" xfId="0" applyNumberFormat="1" applyFont="1" applyFill="1" applyBorder="1" applyAlignment="1" applyProtection="1">
      <alignment/>
      <protection/>
    </xf>
    <xf numFmtId="38" fontId="8" fillId="0" borderId="31" xfId="0" applyNumberFormat="1" applyFont="1" applyFill="1" applyBorder="1" applyAlignment="1" applyProtection="1">
      <alignment/>
      <protection/>
    </xf>
    <xf numFmtId="166" fontId="20" fillId="6" borderId="35" xfId="15" applyNumberFormat="1" applyFont="1" applyFill="1" applyBorder="1" applyAlignment="1" quotePrefix="1">
      <alignment horizontal="center"/>
    </xf>
    <xf numFmtId="166" fontId="20" fillId="6" borderId="35" xfId="15" applyNumberFormat="1" applyFont="1" applyFill="1" applyBorder="1" applyAlignment="1" quotePrefix="1">
      <alignment/>
    </xf>
    <xf numFmtId="0" fontId="32" fillId="0" borderId="4" xfId="0" applyFont="1" applyBorder="1" applyAlignment="1">
      <alignment/>
    </xf>
    <xf numFmtId="0" fontId="26" fillId="5" borderId="35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6" fontId="0" fillId="0" borderId="5" xfId="15" applyNumberFormat="1" applyBorder="1" applyAlignment="1">
      <alignment/>
    </xf>
    <xf numFmtId="166" fontId="0" fillId="0" borderId="7" xfId="15" applyNumberFormat="1" applyBorder="1" applyAlignment="1">
      <alignment/>
    </xf>
    <xf numFmtId="0" fontId="4" fillId="0" borderId="40" xfId="0" applyFont="1" applyBorder="1" applyAlignment="1">
      <alignment/>
    </xf>
    <xf numFmtId="166" fontId="4" fillId="0" borderId="6" xfId="15" applyNumberFormat="1" applyFont="1" applyBorder="1" applyAlignment="1">
      <alignment/>
    </xf>
    <xf numFmtId="0" fontId="0" fillId="0" borderId="41" xfId="0" applyBorder="1" applyAlignment="1">
      <alignment horizontal="justify"/>
    </xf>
    <xf numFmtId="0" fontId="34" fillId="0" borderId="0" xfId="0" applyFont="1" applyBorder="1" applyAlignment="1">
      <alignment horizontal="center" vertical="center"/>
    </xf>
    <xf numFmtId="6" fontId="0" fillId="0" borderId="0" xfId="0" applyNumberFormat="1" applyAlignment="1">
      <alignment/>
    </xf>
    <xf numFmtId="5" fontId="8" fillId="0" borderId="0" xfId="0" applyNumberFormat="1" applyFont="1" applyFill="1" applyBorder="1" applyAlignment="1" applyProtection="1">
      <alignment/>
      <protection/>
    </xf>
    <xf numFmtId="2" fontId="26" fillId="0" borderId="6" xfId="0" applyNumberFormat="1" applyFont="1" applyBorder="1" applyAlignment="1">
      <alignment/>
    </xf>
    <xf numFmtId="4" fontId="0" fillId="0" borderId="5" xfId="15" applyNumberFormat="1" applyFont="1" applyBorder="1" applyAlignment="1">
      <alignment/>
    </xf>
    <xf numFmtId="4" fontId="0" fillId="0" borderId="7" xfId="15" applyNumberFormat="1" applyFont="1" applyBorder="1" applyAlignment="1">
      <alignment/>
    </xf>
    <xf numFmtId="43" fontId="26" fillId="0" borderId="6" xfId="15" applyNumberFormat="1" applyFont="1" applyBorder="1" applyAlignment="1">
      <alignment/>
    </xf>
    <xf numFmtId="0" fontId="0" fillId="0" borderId="5" xfId="0" applyBorder="1" applyAlignment="1">
      <alignment horizontal="left" wrapText="1"/>
    </xf>
    <xf numFmtId="0" fontId="10" fillId="0" borderId="0" xfId="0" applyFont="1" applyAlignment="1" applyProtection="1">
      <alignment horizontal="center" wrapText="1"/>
      <protection locked="0"/>
    </xf>
    <xf numFmtId="0" fontId="6" fillId="0" borderId="1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6" fillId="0" borderId="33" xfId="0" applyFont="1" applyFill="1" applyBorder="1" applyAlignment="1">
      <alignment horizontal="left" vertical="top"/>
    </xf>
    <xf numFmtId="5" fontId="8" fillId="0" borderId="42" xfId="0" applyNumberFormat="1" applyFont="1" applyFill="1" applyBorder="1" applyAlignment="1" applyProtection="1">
      <alignment vertical="top"/>
      <protection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37" fontId="8" fillId="0" borderId="46" xfId="0" applyNumberFormat="1" applyFont="1" applyFill="1" applyBorder="1" applyAlignment="1" applyProtection="1">
      <alignment/>
      <protection/>
    </xf>
    <xf numFmtId="38" fontId="8" fillId="0" borderId="46" xfId="0" applyNumberFormat="1" applyFont="1" applyFill="1" applyBorder="1" applyAlignment="1" applyProtection="1">
      <alignment/>
      <protection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37" fontId="8" fillId="0" borderId="50" xfId="0" applyNumberFormat="1" applyFont="1" applyFill="1" applyBorder="1" applyAlignment="1" applyProtection="1">
      <alignment horizontal="right"/>
      <protection/>
    </xf>
    <xf numFmtId="0" fontId="6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left"/>
    </xf>
    <xf numFmtId="5" fontId="8" fillId="0" borderId="50" xfId="0" applyNumberFormat="1" applyFont="1" applyFill="1" applyBorder="1" applyAlignment="1" applyProtection="1">
      <alignment/>
      <protection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left"/>
    </xf>
    <xf numFmtId="5" fontId="8" fillId="0" borderId="53" xfId="0" applyNumberFormat="1" applyFont="1" applyFill="1" applyBorder="1" applyAlignment="1" applyProtection="1">
      <alignment/>
      <protection/>
    </xf>
    <xf numFmtId="0" fontId="17" fillId="0" borderId="51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5" fontId="17" fillId="0" borderId="53" xfId="0" applyNumberFormat="1" applyFont="1" applyFill="1" applyBorder="1" applyAlignment="1" applyProtection="1">
      <alignment/>
      <protection/>
    </xf>
    <xf numFmtId="0" fontId="8" fillId="0" borderId="47" xfId="0" applyFont="1" applyFill="1" applyBorder="1" applyAlignment="1">
      <alignment/>
    </xf>
    <xf numFmtId="0" fontId="17" fillId="0" borderId="52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33" xfId="0" applyFont="1" applyFill="1" applyBorder="1" applyAlignment="1">
      <alignment horizontal="left"/>
    </xf>
    <xf numFmtId="5" fontId="6" fillId="0" borderId="54" xfId="0" applyNumberFormat="1" applyFont="1" applyFill="1" applyBorder="1" applyAlignment="1" applyProtection="1">
      <alignment/>
      <protection/>
    </xf>
    <xf numFmtId="5" fontId="6" fillId="0" borderId="55" xfId="0" applyNumberFormat="1" applyFont="1" applyFill="1" applyBorder="1" applyAlignment="1" applyProtection="1">
      <alignment/>
      <protection/>
    </xf>
    <xf numFmtId="5" fontId="8" fillId="0" borderId="54" xfId="0" applyNumberFormat="1" applyFont="1" applyFill="1" applyBorder="1" applyAlignment="1" applyProtection="1">
      <alignment/>
      <protection/>
    </xf>
    <xf numFmtId="5" fontId="8" fillId="0" borderId="14" xfId="0" applyNumberFormat="1" applyFont="1" applyFill="1" applyBorder="1" applyAlignment="1" applyProtection="1">
      <alignment/>
      <protection/>
    </xf>
    <xf numFmtId="173" fontId="8" fillId="0" borderId="55" xfId="0" applyNumberFormat="1" applyFont="1" applyFill="1" applyBorder="1" applyAlignment="1" applyProtection="1">
      <alignment/>
      <protection/>
    </xf>
    <xf numFmtId="1" fontId="0" fillId="0" borderId="5" xfId="0" applyNumberFormat="1" applyFill="1" applyBorder="1" applyAlignment="1">
      <alignment/>
    </xf>
    <xf numFmtId="0" fontId="20" fillId="0" borderId="4" xfId="0" applyFont="1" applyBorder="1" applyAlignment="1">
      <alignment horizontal="center"/>
    </xf>
    <xf numFmtId="0" fontId="23" fillId="5" borderId="7" xfId="0" applyFont="1" applyFill="1" applyBorder="1" applyAlignment="1">
      <alignment horizontal="center" wrapText="1"/>
    </xf>
    <xf numFmtId="0" fontId="9" fillId="0" borderId="0" xfId="0" applyFont="1" applyBorder="1" applyAlignment="1" applyProtection="1">
      <alignment horizontal="center"/>
      <protection locked="0"/>
    </xf>
    <xf numFmtId="6" fontId="0" fillId="0" borderId="7" xfId="0" applyNumberFormat="1" applyBorder="1" applyAlignment="1">
      <alignment/>
    </xf>
    <xf numFmtId="6" fontId="0" fillId="0" borderId="4" xfId="0" applyNumberFormat="1" applyBorder="1" applyAlignment="1">
      <alignment/>
    </xf>
    <xf numFmtId="0" fontId="0" fillId="0" borderId="56" xfId="0" applyBorder="1" applyAlignment="1">
      <alignment/>
    </xf>
    <xf numFmtId="5" fontId="8" fillId="7" borderId="57" xfId="0" applyNumberFormat="1" applyFont="1" applyFill="1" applyBorder="1" applyAlignment="1" applyProtection="1">
      <alignment vertical="center"/>
      <protection/>
    </xf>
    <xf numFmtId="5" fontId="6" fillId="7" borderId="55" xfId="0" applyNumberFormat="1" applyFont="1" applyFill="1" applyBorder="1" applyAlignment="1" applyProtection="1">
      <alignment vertical="center"/>
      <protection/>
    </xf>
    <xf numFmtId="5" fontId="8" fillId="7" borderId="14" xfId="0" applyNumberFormat="1" applyFont="1" applyFill="1" applyBorder="1" applyAlignment="1" applyProtection="1">
      <alignment/>
      <protection/>
    </xf>
    <xf numFmtId="5" fontId="6" fillId="7" borderId="55" xfId="0" applyNumberFormat="1" applyFont="1" applyFill="1" applyBorder="1" applyAlignment="1" applyProtection="1">
      <alignment/>
      <protection/>
    </xf>
    <xf numFmtId="10" fontId="8" fillId="0" borderId="0" xfId="0" applyNumberFormat="1" applyFont="1" applyFill="1" applyBorder="1" applyAlignment="1" applyProtection="1">
      <alignment vertical="top"/>
      <protection/>
    </xf>
    <xf numFmtId="10" fontId="8" fillId="0" borderId="44" xfId="0" applyNumberFormat="1" applyFont="1" applyFill="1" applyBorder="1" applyAlignment="1" applyProtection="1">
      <alignment/>
      <protection/>
    </xf>
    <xf numFmtId="10" fontId="8" fillId="0" borderId="25" xfId="0" applyNumberFormat="1" applyFont="1" applyFill="1" applyBorder="1" applyAlignment="1" applyProtection="1">
      <alignment/>
      <protection/>
    </xf>
    <xf numFmtId="10" fontId="8" fillId="0" borderId="20" xfId="0" applyNumberFormat="1" applyFont="1" applyFill="1" applyBorder="1" applyAlignment="1" applyProtection="1">
      <alignment/>
      <protection/>
    </xf>
    <xf numFmtId="10" fontId="8" fillId="0" borderId="48" xfId="0" applyNumberFormat="1" applyFont="1" applyFill="1" applyBorder="1" applyAlignment="1" applyProtection="1">
      <alignment/>
      <protection/>
    </xf>
    <xf numFmtId="10" fontId="8" fillId="0" borderId="52" xfId="0" applyNumberFormat="1" applyFont="1" applyFill="1" applyBorder="1" applyAlignment="1" applyProtection="1">
      <alignment/>
      <protection/>
    </xf>
    <xf numFmtId="10" fontId="8" fillId="0" borderId="0" xfId="0" applyNumberFormat="1" applyFont="1" applyFill="1" applyBorder="1" applyAlignment="1" applyProtection="1">
      <alignment/>
      <protection/>
    </xf>
    <xf numFmtId="10" fontId="8" fillId="0" borderId="17" xfId="0" applyNumberFormat="1" applyFont="1" applyFill="1" applyBorder="1" applyAlignment="1" applyProtection="1">
      <alignment/>
      <protection/>
    </xf>
    <xf numFmtId="167" fontId="0" fillId="0" borderId="1" xfId="15" applyNumberFormat="1" applyFont="1" applyFill="1" applyBorder="1" applyAlignment="1" applyProtection="1">
      <alignment/>
      <protection/>
    </xf>
    <xf numFmtId="5" fontId="6" fillId="0" borderId="58" xfId="0" applyNumberFormat="1" applyFont="1" applyFill="1" applyBorder="1" applyAlignment="1" applyProtection="1">
      <alignment/>
      <protection/>
    </xf>
    <xf numFmtId="5" fontId="6" fillId="0" borderId="59" xfId="0" applyNumberFormat="1" applyFont="1" applyFill="1" applyBorder="1" applyAlignment="1" applyProtection="1">
      <alignment/>
      <protection/>
    </xf>
    <xf numFmtId="166" fontId="5" fillId="0" borderId="1" xfId="15" applyNumberFormat="1" applyFont="1" applyFill="1" applyBorder="1" applyAlignment="1" applyProtection="1">
      <alignment/>
      <protection locked="0"/>
    </xf>
    <xf numFmtId="10" fontId="8" fillId="0" borderId="60" xfId="0" applyNumberFormat="1" applyFont="1" applyFill="1" applyBorder="1" applyAlignment="1" applyProtection="1">
      <alignment/>
      <protection/>
    </xf>
    <xf numFmtId="10" fontId="8" fillId="0" borderId="61" xfId="0" applyNumberFormat="1" applyFont="1" applyFill="1" applyBorder="1" applyAlignment="1" applyProtection="1">
      <alignment/>
      <protection/>
    </xf>
    <xf numFmtId="5" fontId="0" fillId="0" borderId="0" xfId="0" applyNumberFormat="1" applyAlignment="1">
      <alignment/>
    </xf>
    <xf numFmtId="5" fontId="17" fillId="0" borderId="0" xfId="0" applyNumberFormat="1" applyFont="1" applyFill="1" applyBorder="1" applyAlignment="1" applyProtection="1">
      <alignment vertical="center"/>
      <protection/>
    </xf>
    <xf numFmtId="10" fontId="3" fillId="0" borderId="0" xfId="21" applyNumberFormat="1" applyFont="1" applyAlignment="1">
      <alignment/>
    </xf>
    <xf numFmtId="166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5" fontId="0" fillId="0" borderId="32" xfId="0" applyNumberFormat="1" applyFont="1" applyFill="1" applyBorder="1" applyAlignment="1" applyProtection="1">
      <alignment/>
      <protection/>
    </xf>
    <xf numFmtId="5" fontId="39" fillId="0" borderId="0" xfId="0" applyNumberFormat="1" applyFont="1" applyAlignment="1">
      <alignment/>
    </xf>
    <xf numFmtId="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5" fontId="0" fillId="0" borderId="0" xfId="0" applyNumberFormat="1" applyFill="1" applyAlignment="1">
      <alignment/>
    </xf>
    <xf numFmtId="0" fontId="26" fillId="5" borderId="35" xfId="0" applyFont="1" applyFill="1" applyBorder="1" applyAlignment="1">
      <alignment horizontal="center"/>
    </xf>
    <xf numFmtId="0" fontId="23" fillId="5" borderId="35" xfId="0" applyFont="1" applyFill="1" applyBorder="1" applyAlignment="1">
      <alignment horizontal="center" vertical="center" wrapText="1"/>
    </xf>
    <xf numFmtId="171" fontId="23" fillId="5" borderId="35" xfId="0" applyNumberFormat="1" applyFont="1" applyFill="1" applyBorder="1" applyAlignment="1">
      <alignment horizontal="center" vertical="center" wrapText="1"/>
    </xf>
    <xf numFmtId="166" fontId="0" fillId="6" borderId="35" xfId="15" applyNumberFormat="1" applyFont="1" applyFill="1" applyBorder="1" applyAlignment="1">
      <alignment horizontal="center"/>
    </xf>
    <xf numFmtId="5" fontId="4" fillId="0" borderId="62" xfId="0" applyNumberFormat="1" applyFont="1" applyFill="1" applyBorder="1" applyAlignment="1" applyProtection="1">
      <alignment/>
      <protection/>
    </xf>
    <xf numFmtId="5" fontId="0" fillId="0" borderId="62" xfId="0" applyNumberFormat="1" applyFont="1" applyFill="1" applyBorder="1" applyAlignment="1" applyProtection="1">
      <alignment/>
      <protection/>
    </xf>
    <xf numFmtId="5" fontId="26" fillId="4" borderId="63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66" fontId="21" fillId="3" borderId="35" xfId="15" applyNumberFormat="1" applyFont="1" applyFill="1" applyBorder="1" applyAlignment="1">
      <alignment horizontal="right"/>
    </xf>
    <xf numFmtId="185" fontId="0" fillId="0" borderId="5" xfId="0" applyNumberFormat="1" applyFont="1" applyBorder="1" applyAlignment="1">
      <alignment/>
    </xf>
    <xf numFmtId="168" fontId="3" fillId="0" borderId="0" xfId="0" applyNumberFormat="1" applyFont="1" applyAlignment="1">
      <alignment horizontal="center"/>
    </xf>
    <xf numFmtId="197" fontId="0" fillId="0" borderId="5" xfId="21" applyNumberFormat="1" applyFont="1" applyBorder="1" applyAlignment="1">
      <alignment/>
    </xf>
    <xf numFmtId="197" fontId="0" fillId="0" borderId="7" xfId="21" applyNumberFormat="1" applyFont="1" applyBorder="1" applyAlignment="1">
      <alignment/>
    </xf>
    <xf numFmtId="5" fontId="0" fillId="0" borderId="3" xfId="0" applyNumberFormat="1" applyFont="1" applyFill="1" applyBorder="1" applyAlignment="1" applyProtection="1">
      <alignment/>
      <protection/>
    </xf>
    <xf numFmtId="0" fontId="0" fillId="6" borderId="64" xfId="0" applyFont="1" applyFill="1" applyBorder="1" applyAlignment="1" applyProtection="1">
      <alignment/>
      <protection/>
    </xf>
    <xf numFmtId="49" fontId="20" fillId="6" borderId="65" xfId="0" applyNumberFormat="1" applyFont="1" applyFill="1" applyBorder="1" applyAlignment="1" applyProtection="1">
      <alignment horizontal="center"/>
      <protection/>
    </xf>
    <xf numFmtId="0" fontId="0" fillId="5" borderId="7" xfId="0" applyFont="1" applyFill="1" applyBorder="1" applyAlignment="1" applyProtection="1">
      <alignment/>
      <protection/>
    </xf>
    <xf numFmtId="0" fontId="23" fillId="5" borderId="7" xfId="0" applyFont="1" applyFill="1" applyBorder="1" applyAlignment="1">
      <alignment horizontal="center"/>
    </xf>
    <xf numFmtId="0" fontId="26" fillId="5" borderId="7" xfId="0" applyFont="1" applyFill="1" applyBorder="1" applyAlignment="1">
      <alignment horizontal="center" vertical="center" wrapText="1"/>
    </xf>
    <xf numFmtId="0" fontId="0" fillId="5" borderId="66" xfId="0" applyFont="1" applyFill="1" applyBorder="1" applyAlignment="1" applyProtection="1">
      <alignment/>
      <protection/>
    </xf>
    <xf numFmtId="0" fontId="4" fillId="5" borderId="67" xfId="0" applyFont="1" applyFill="1" applyBorder="1" applyAlignment="1" applyProtection="1">
      <alignment/>
      <protection/>
    </xf>
    <xf numFmtId="0" fontId="0" fillId="5" borderId="68" xfId="0" applyFont="1" applyFill="1" applyBorder="1" applyAlignment="1" applyProtection="1">
      <alignment/>
      <protection/>
    </xf>
    <xf numFmtId="0" fontId="26" fillId="5" borderId="69" xfId="0" applyFont="1" applyFill="1" applyBorder="1" applyAlignment="1" applyProtection="1">
      <alignment/>
      <protection/>
    </xf>
    <xf numFmtId="0" fontId="0" fillId="5" borderId="4" xfId="0" applyFont="1" applyFill="1" applyBorder="1" applyAlignment="1" applyProtection="1">
      <alignment/>
      <protection/>
    </xf>
    <xf numFmtId="0" fontId="23" fillId="5" borderId="4" xfId="0" applyFont="1" applyFill="1" applyBorder="1" applyAlignment="1">
      <alignment horizontal="center"/>
    </xf>
    <xf numFmtId="0" fontId="26" fillId="5" borderId="4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/>
    </xf>
    <xf numFmtId="0" fontId="0" fillId="0" borderId="39" xfId="0" applyFont="1" applyBorder="1" applyAlignment="1">
      <alignment/>
    </xf>
    <xf numFmtId="0" fontId="0" fillId="0" borderId="56" xfId="0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70" xfId="0" applyNumberFormat="1" applyFont="1" applyBorder="1" applyAlignment="1">
      <alignment/>
    </xf>
    <xf numFmtId="0" fontId="26" fillId="0" borderId="71" xfId="0" applyFont="1" applyBorder="1" applyAlignment="1">
      <alignment/>
    </xf>
    <xf numFmtId="0" fontId="0" fillId="0" borderId="72" xfId="0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26" fillId="0" borderId="40" xfId="0" applyFont="1" applyBorder="1" applyAlignment="1">
      <alignment/>
    </xf>
    <xf numFmtId="0" fontId="23" fillId="5" borderId="4" xfId="0" applyFont="1" applyFill="1" applyBorder="1" applyAlignment="1">
      <alignment horizontal="center" wrapText="1"/>
    </xf>
    <xf numFmtId="0" fontId="20" fillId="5" borderId="4" xfId="0" applyFont="1" applyFill="1" applyBorder="1" applyAlignment="1">
      <alignment horizontal="center" vertical="center" wrapText="1"/>
    </xf>
    <xf numFmtId="0" fontId="23" fillId="5" borderId="35" xfId="0" applyFont="1" applyFill="1" applyBorder="1" applyAlignment="1">
      <alignment horizontal="center"/>
    </xf>
    <xf numFmtId="166" fontId="20" fillId="6" borderId="35" xfId="15" applyNumberFormat="1" applyFont="1" applyFill="1" applyBorder="1" applyAlignment="1">
      <alignment horizontal="center"/>
    </xf>
    <xf numFmtId="166" fontId="0" fillId="6" borderId="73" xfId="15" applyNumberFormat="1" applyFont="1" applyFill="1" applyBorder="1" applyAlignment="1">
      <alignment horizontal="center"/>
    </xf>
    <xf numFmtId="166" fontId="20" fillId="6" borderId="74" xfId="15" applyNumberFormat="1" applyFont="1" applyFill="1" applyBorder="1" applyAlignment="1">
      <alignment horizontal="center"/>
    </xf>
    <xf numFmtId="0" fontId="26" fillId="5" borderId="35" xfId="0" applyFont="1" applyFill="1" applyBorder="1" applyAlignment="1">
      <alignment horizontal="center" wrapText="1"/>
    </xf>
    <xf numFmtId="0" fontId="0" fillId="5" borderId="4" xfId="0" applyFill="1" applyBorder="1" applyAlignment="1">
      <alignment/>
    </xf>
    <xf numFmtId="0" fontId="4" fillId="5" borderId="5" xfId="0" applyFont="1" applyFill="1" applyBorder="1" applyAlignment="1">
      <alignment/>
    </xf>
    <xf numFmtId="0" fontId="4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38" xfId="0" applyFont="1" applyFill="1" applyBorder="1" applyAlignment="1">
      <alignment horizontal="center"/>
    </xf>
    <xf numFmtId="0" fontId="23" fillId="5" borderId="70" xfId="0" applyFont="1" applyFill="1" applyBorder="1" applyAlignment="1">
      <alignment horizontal="center"/>
    </xf>
    <xf numFmtId="0" fontId="0" fillId="5" borderId="75" xfId="0" applyFill="1" applyBorder="1" applyAlignment="1">
      <alignment/>
    </xf>
    <xf numFmtId="15" fontId="3" fillId="5" borderId="4" xfId="0" applyNumberFormat="1" applyFont="1" applyFill="1" applyBorder="1" applyAlignment="1">
      <alignment horizontal="center"/>
    </xf>
    <xf numFmtId="0" fontId="23" fillId="5" borderId="56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/>
    </xf>
    <xf numFmtId="0" fontId="23" fillId="5" borderId="74" xfId="0" applyFont="1" applyFill="1" applyBorder="1" applyAlignment="1">
      <alignment horizontal="center" wrapText="1"/>
    </xf>
    <xf numFmtId="7" fontId="0" fillId="0" borderId="0" xfId="0" applyNumberFormat="1" applyAlignment="1">
      <alignment wrapText="1"/>
    </xf>
    <xf numFmtId="5" fontId="4" fillId="0" borderId="65" xfId="0" applyNumberFormat="1" applyFont="1" applyFill="1" applyBorder="1" applyAlignment="1" applyProtection="1">
      <alignment/>
      <protection/>
    </xf>
    <xf numFmtId="0" fontId="26" fillId="5" borderId="7" xfId="0" applyFont="1" applyFill="1" applyBorder="1" applyAlignment="1">
      <alignment horizontal="center" wrapText="1"/>
    </xf>
    <xf numFmtId="0" fontId="0" fillId="5" borderId="72" xfId="0" applyFill="1" applyBorder="1" applyAlignment="1">
      <alignment/>
    </xf>
    <xf numFmtId="0" fontId="8" fillId="0" borderId="25" xfId="0" applyFont="1" applyFill="1" applyBorder="1" applyAlignment="1">
      <alignment horizontal="left"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 quotePrefix="1">
      <alignment horizontal="center" wrapText="1"/>
    </xf>
    <xf numFmtId="0" fontId="42" fillId="0" borderId="0" xfId="0" applyFont="1" applyAlignment="1">
      <alignment/>
    </xf>
    <xf numFmtId="0" fontId="41" fillId="0" borderId="0" xfId="0" applyFont="1" applyAlignment="1" quotePrefix="1">
      <alignment horizontal="center"/>
    </xf>
    <xf numFmtId="0" fontId="41" fillId="0" borderId="0" xfId="0" applyFont="1" applyAlignment="1">
      <alignment/>
    </xf>
    <xf numFmtId="0" fontId="26" fillId="5" borderId="4" xfId="0" applyFont="1" applyFill="1" applyBorder="1" applyAlignment="1" quotePrefix="1">
      <alignment horizontal="center" wrapText="1"/>
    </xf>
    <xf numFmtId="0" fontId="20" fillId="6" borderId="35" xfId="0" applyFont="1" applyFill="1" applyBorder="1" applyAlignment="1" quotePrefix="1">
      <alignment horizontal="center"/>
    </xf>
    <xf numFmtId="0" fontId="0" fillId="0" borderId="0" xfId="0" applyFill="1" applyAlignment="1">
      <alignment/>
    </xf>
    <xf numFmtId="0" fontId="25" fillId="0" borderId="0" xfId="0" applyFont="1" applyAlignment="1" quotePrefix="1">
      <alignment horizontal="left"/>
    </xf>
    <xf numFmtId="0" fontId="42" fillId="0" borderId="0" xfId="0" applyFont="1" applyAlignment="1">
      <alignment/>
    </xf>
    <xf numFmtId="0" fontId="26" fillId="5" borderId="35" xfId="0" applyFont="1" applyFill="1" applyBorder="1" applyAlignment="1" quotePrefix="1">
      <alignment horizontal="center" vertical="center" wrapText="1"/>
    </xf>
    <xf numFmtId="5" fontId="4" fillId="0" borderId="76" xfId="0" applyNumberFormat="1" applyFont="1" applyFill="1" applyBorder="1" applyAlignment="1" applyProtection="1">
      <alignment/>
      <protection/>
    </xf>
    <xf numFmtId="5" fontId="4" fillId="0" borderId="5" xfId="0" applyNumberFormat="1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37" fontId="0" fillId="0" borderId="77" xfId="0" applyNumberFormat="1" applyBorder="1" applyAlignment="1">
      <alignment/>
    </xf>
    <xf numFmtId="37" fontId="26" fillId="0" borderId="6" xfId="15" applyNumberFormat="1" applyFont="1" applyBorder="1" applyAlignment="1">
      <alignment/>
    </xf>
    <xf numFmtId="167" fontId="0" fillId="0" borderId="5" xfId="0" applyNumberFormat="1" applyFont="1" applyFill="1" applyBorder="1" applyAlignment="1">
      <alignment/>
    </xf>
    <xf numFmtId="1" fontId="0" fillId="0" borderId="7" xfId="0" applyNumberFormat="1" applyFill="1" applyBorder="1" applyAlignment="1">
      <alignment/>
    </xf>
    <xf numFmtId="167" fontId="0" fillId="0" borderId="7" xfId="0" applyNumberFormat="1" applyFont="1" applyFill="1" applyBorder="1" applyAlignment="1">
      <alignment/>
    </xf>
    <xf numFmtId="6" fontId="0" fillId="0" borderId="7" xfId="0" applyNumberForma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6" fontId="8" fillId="0" borderId="53" xfId="0" applyNumberFormat="1" applyFont="1" applyFill="1" applyBorder="1" applyAlignment="1" applyProtection="1">
      <alignment/>
      <protection/>
    </xf>
    <xf numFmtId="5" fontId="8" fillId="0" borderId="3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44" fillId="0" borderId="0" xfId="0" applyFont="1" applyBorder="1" applyAlignment="1" quotePrefix="1">
      <alignment horizontal="left"/>
    </xf>
    <xf numFmtId="2" fontId="0" fillId="0" borderId="5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2" fontId="0" fillId="0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19" fillId="5" borderId="74" xfId="0" applyFont="1" applyFill="1" applyBorder="1" applyAlignment="1">
      <alignment horizontal="center" wrapText="1"/>
    </xf>
    <xf numFmtId="166" fontId="20" fillId="6" borderId="74" xfId="15" applyNumberFormat="1" applyFont="1" applyFill="1" applyBorder="1" applyAlignment="1" quotePrefix="1">
      <alignment horizontal="center"/>
    </xf>
    <xf numFmtId="166" fontId="20" fillId="6" borderId="73" xfId="15" applyNumberFormat="1" applyFont="1" applyFill="1" applyBorder="1" applyAlignment="1" quotePrefix="1">
      <alignment horizontal="center"/>
    </xf>
    <xf numFmtId="5" fontId="26" fillId="0" borderId="71" xfId="17" applyNumberFormat="1" applyFont="1" applyBorder="1" applyAlignment="1">
      <alignment/>
    </xf>
    <xf numFmtId="5" fontId="26" fillId="0" borderId="78" xfId="17" applyNumberFormat="1" applyFont="1" applyBorder="1" applyAlignment="1">
      <alignment/>
    </xf>
    <xf numFmtId="37" fontId="0" fillId="0" borderId="33" xfId="0" applyNumberFormat="1" applyFill="1" applyBorder="1" applyAlignment="1" applyProtection="1">
      <alignment/>
      <protection/>
    </xf>
    <xf numFmtId="37" fontId="0" fillId="0" borderId="79" xfId="0" applyNumberFormat="1" applyFill="1" applyBorder="1" applyAlignment="1" applyProtection="1">
      <alignment/>
      <protection/>
    </xf>
    <xf numFmtId="0" fontId="3" fillId="0" borderId="0" xfId="0" applyFont="1" applyBorder="1" applyAlignment="1">
      <alignment horizontal="center" wrapText="1"/>
    </xf>
    <xf numFmtId="185" fontId="0" fillId="0" borderId="7" xfId="0" applyNumberFormat="1" applyFont="1" applyBorder="1" applyAlignment="1">
      <alignment/>
    </xf>
    <xf numFmtId="0" fontId="26" fillId="7" borderId="35" xfId="0" applyFont="1" applyFill="1" applyBorder="1" applyAlignment="1">
      <alignment horizontal="center" vertical="center" wrapText="1"/>
    </xf>
    <xf numFmtId="167" fontId="4" fillId="7" borderId="5" xfId="0" applyNumberFormat="1" applyFont="1" applyFill="1" applyBorder="1" applyAlignment="1">
      <alignment/>
    </xf>
    <xf numFmtId="167" fontId="4" fillId="7" borderId="7" xfId="0" applyNumberFormat="1" applyFont="1" applyFill="1" applyBorder="1" applyAlignment="1">
      <alignment/>
    </xf>
    <xf numFmtId="0" fontId="4" fillId="7" borderId="5" xfId="0" applyFont="1" applyFill="1" applyBorder="1" applyAlignment="1">
      <alignment/>
    </xf>
    <xf numFmtId="6" fontId="26" fillId="7" borderId="6" xfId="0" applyNumberFormat="1" applyFont="1" applyFill="1" applyBorder="1" applyAlignment="1">
      <alignment/>
    </xf>
    <xf numFmtId="0" fontId="0" fillId="7" borderId="5" xfId="0" applyFont="1" applyFill="1" applyBorder="1" applyAlignment="1">
      <alignment/>
    </xf>
    <xf numFmtId="0" fontId="22" fillId="0" borderId="25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left"/>
    </xf>
    <xf numFmtId="5" fontId="22" fillId="0" borderId="26" xfId="0" applyNumberFormat="1" applyFont="1" applyFill="1" applyBorder="1" applyAlignment="1" applyProtection="1">
      <alignment/>
      <protection/>
    </xf>
    <xf numFmtId="10" fontId="46" fillId="0" borderId="25" xfId="0" applyNumberFormat="1" applyFont="1" applyFill="1" applyBorder="1" applyAlignment="1" applyProtection="1">
      <alignment/>
      <protection/>
    </xf>
    <xf numFmtId="10" fontId="22" fillId="0" borderId="25" xfId="0" applyNumberFormat="1" applyFont="1" applyFill="1" applyBorder="1" applyAlignment="1" applyProtection="1">
      <alignment/>
      <protection/>
    </xf>
    <xf numFmtId="0" fontId="22" fillId="0" borderId="25" xfId="0" applyFont="1" applyFill="1" applyBorder="1" applyAlignment="1">
      <alignment/>
    </xf>
    <xf numFmtId="0" fontId="22" fillId="0" borderId="80" xfId="0" applyFont="1" applyFill="1" applyBorder="1" applyAlignment="1" quotePrefix="1">
      <alignment horizontal="left" vertical="center"/>
    </xf>
    <xf numFmtId="0" fontId="22" fillId="0" borderId="80" xfId="0" applyFont="1" applyFill="1" applyBorder="1" applyAlignment="1">
      <alignment horizontal="left" vertical="center"/>
    </xf>
    <xf numFmtId="5" fontId="22" fillId="0" borderId="81" xfId="0" applyNumberFormat="1" applyFont="1" applyFill="1" applyBorder="1" applyAlignment="1" applyProtection="1">
      <alignment vertical="center"/>
      <protection/>
    </xf>
    <xf numFmtId="10" fontId="22" fillId="0" borderId="82" xfId="0" applyNumberFormat="1" applyFont="1" applyFill="1" applyBorder="1" applyAlignment="1" applyProtection="1">
      <alignment/>
      <protection/>
    </xf>
    <xf numFmtId="5" fontId="46" fillId="0" borderId="83" xfId="0" applyNumberFormat="1" applyFont="1" applyFill="1" applyBorder="1" applyAlignment="1" applyProtection="1">
      <alignment vertical="center"/>
      <protection/>
    </xf>
    <xf numFmtId="10" fontId="46" fillId="0" borderId="84" xfId="0" applyNumberFormat="1" applyFont="1" applyFill="1" applyBorder="1" applyAlignment="1" applyProtection="1">
      <alignment/>
      <protection/>
    </xf>
    <xf numFmtId="0" fontId="22" fillId="0" borderId="25" xfId="0" applyFont="1" applyFill="1" applyBorder="1" applyAlignment="1" quotePrefix="1">
      <alignment horizontal="left"/>
    </xf>
    <xf numFmtId="5" fontId="8" fillId="0" borderId="42" xfId="0" applyNumberFormat="1" applyFont="1" applyFill="1" applyBorder="1" applyAlignment="1" applyProtection="1">
      <alignment vertical="center"/>
      <protection/>
    </xf>
    <xf numFmtId="5" fontId="8" fillId="0" borderId="85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quotePrefix="1">
      <alignment horizontal="center" vertical="center" wrapText="1"/>
    </xf>
    <xf numFmtId="0" fontId="6" fillId="0" borderId="0" xfId="0" applyFont="1" applyFill="1" applyAlignment="1" quotePrefix="1">
      <alignment horizontal="center"/>
    </xf>
    <xf numFmtId="0" fontId="6" fillId="0" borderId="48" xfId="0" applyFont="1" applyFill="1" applyBorder="1" applyAlignment="1" quotePrefix="1">
      <alignment horizontal="center"/>
    </xf>
    <xf numFmtId="0" fontId="22" fillId="7" borderId="86" xfId="0" applyFont="1" applyFill="1" applyBorder="1" applyAlignment="1">
      <alignment horizontal="left"/>
    </xf>
    <xf numFmtId="0" fontId="46" fillId="7" borderId="86" xfId="0" applyFont="1" applyFill="1" applyBorder="1" applyAlignment="1">
      <alignment/>
    </xf>
    <xf numFmtId="5" fontId="46" fillId="7" borderId="87" xfId="0" applyNumberFormat="1" applyFont="1" applyFill="1" applyBorder="1" applyAlignment="1" applyProtection="1">
      <alignment/>
      <protection/>
    </xf>
    <xf numFmtId="5" fontId="46" fillId="7" borderId="42" xfId="0" applyNumberFormat="1" applyFont="1" applyFill="1" applyBorder="1" applyAlignment="1" applyProtection="1">
      <alignment/>
      <protection/>
    </xf>
    <xf numFmtId="10" fontId="46" fillId="7" borderId="0" xfId="0" applyNumberFormat="1" applyFont="1" applyFill="1" applyBorder="1" applyAlignment="1" applyProtection="1">
      <alignment/>
      <protection/>
    </xf>
    <xf numFmtId="0" fontId="22" fillId="7" borderId="48" xfId="0" applyFont="1" applyFill="1" applyBorder="1" applyAlignment="1">
      <alignment horizontal="left"/>
    </xf>
    <xf numFmtId="0" fontId="46" fillId="7" borderId="48" xfId="0" applyFont="1" applyFill="1" applyBorder="1" applyAlignment="1">
      <alignment/>
    </xf>
    <xf numFmtId="5" fontId="22" fillId="7" borderId="50" xfId="0" applyNumberFormat="1" applyFont="1" applyFill="1" applyBorder="1" applyAlignment="1" applyProtection="1">
      <alignment/>
      <protection/>
    </xf>
    <xf numFmtId="5" fontId="22" fillId="7" borderId="81" xfId="0" applyNumberFormat="1" applyFont="1" applyFill="1" applyBorder="1" applyAlignment="1" applyProtection="1">
      <alignment vertical="center"/>
      <protection/>
    </xf>
    <xf numFmtId="10" fontId="22" fillId="7" borderId="80" xfId="0" applyNumberFormat="1" applyFont="1" applyFill="1" applyBorder="1" applyAlignment="1" applyProtection="1">
      <alignment vertical="center"/>
      <protection/>
    </xf>
    <xf numFmtId="0" fontId="22" fillId="7" borderId="80" xfId="0" applyFont="1" applyFill="1" applyBorder="1" applyAlignment="1">
      <alignment vertical="center"/>
    </xf>
    <xf numFmtId="0" fontId="22" fillId="7" borderId="80" xfId="0" applyFont="1" applyFill="1" applyBorder="1" applyAlignment="1">
      <alignment horizontal="left" vertical="center"/>
    </xf>
    <xf numFmtId="10" fontId="46" fillId="7" borderId="80" xfId="0" applyNumberFormat="1" applyFont="1" applyFill="1" applyBorder="1" applyAlignment="1" applyProtection="1">
      <alignment vertical="center"/>
      <protection/>
    </xf>
    <xf numFmtId="0" fontId="4" fillId="5" borderId="5" xfId="0" applyFont="1" applyFill="1" applyBorder="1" applyAlignment="1" quotePrefix="1">
      <alignment horizontal="center" wrapText="1"/>
    </xf>
    <xf numFmtId="0" fontId="26" fillId="5" borderId="73" xfId="0" applyFont="1" applyFill="1" applyBorder="1" applyAlignment="1">
      <alignment horizontal="center" wrapText="1"/>
    </xf>
    <xf numFmtId="5" fontId="26" fillId="0" borderId="40" xfId="17" applyNumberFormat="1" applyFont="1" applyBorder="1" applyAlignment="1">
      <alignment/>
    </xf>
    <xf numFmtId="0" fontId="31" fillId="5" borderId="73" xfId="0" applyFont="1" applyFill="1" applyBorder="1" applyAlignment="1">
      <alignment horizontal="center" wrapText="1"/>
    </xf>
    <xf numFmtId="9" fontId="0" fillId="0" borderId="39" xfId="0" applyNumberFormat="1" applyFont="1" applyBorder="1" applyAlignment="1">
      <alignment/>
    </xf>
    <xf numFmtId="0" fontId="19" fillId="5" borderId="75" xfId="0" applyFont="1" applyFill="1" applyBorder="1" applyAlignment="1">
      <alignment horizontal="center" wrapText="1"/>
    </xf>
    <xf numFmtId="0" fontId="23" fillId="5" borderId="73" xfId="0" applyFont="1" applyFill="1" applyBorder="1" applyAlignment="1">
      <alignment horizontal="center" wrapText="1"/>
    </xf>
    <xf numFmtId="4" fontId="0" fillId="0" borderId="39" xfId="15" applyNumberFormat="1" applyFont="1" applyBorder="1" applyAlignment="1">
      <alignment/>
    </xf>
    <xf numFmtId="43" fontId="0" fillId="0" borderId="39" xfId="15" applyFont="1" applyBorder="1" applyAlignment="1">
      <alignment/>
    </xf>
    <xf numFmtId="43" fontId="26" fillId="0" borderId="40" xfId="15" applyFont="1" applyBorder="1" applyAlignment="1">
      <alignment/>
    </xf>
    <xf numFmtId="6" fontId="26" fillId="0" borderId="6" xfId="0" applyNumberFormat="1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42" fillId="0" borderId="0" xfId="0" applyFont="1" applyAlignment="1" quotePrefix="1">
      <alignment horizontal="left"/>
    </xf>
    <xf numFmtId="0" fontId="26" fillId="0" borderId="0" xfId="0" applyFont="1" applyBorder="1" applyAlignment="1">
      <alignment/>
    </xf>
    <xf numFmtId="37" fontId="26" fillId="0" borderId="0" xfId="15" applyNumberFormat="1" applyFont="1" applyBorder="1" applyAlignment="1">
      <alignment/>
    </xf>
    <xf numFmtId="8" fontId="26" fillId="0" borderId="0" xfId="0" applyNumberFormat="1" applyFont="1" applyBorder="1" applyAlignment="1">
      <alignment/>
    </xf>
    <xf numFmtId="6" fontId="26" fillId="0" borderId="0" xfId="0" applyNumberFormat="1" applyFont="1" applyBorder="1" applyAlignment="1">
      <alignment/>
    </xf>
    <xf numFmtId="37" fontId="0" fillId="8" borderId="8" xfId="0" applyNumberFormat="1" applyFill="1" applyBorder="1" applyAlignment="1">
      <alignment/>
    </xf>
    <xf numFmtId="0" fontId="22" fillId="7" borderId="88" xfId="0" applyFont="1" applyFill="1" applyBorder="1" applyAlignment="1" quotePrefix="1">
      <alignment horizontal="center"/>
    </xf>
    <xf numFmtId="0" fontId="46" fillId="7" borderId="47" xfId="0" applyFont="1" applyFill="1" applyBorder="1" applyAlignment="1">
      <alignment/>
    </xf>
    <xf numFmtId="0" fontId="22" fillId="7" borderId="89" xfId="0" applyFont="1" applyFill="1" applyBorder="1" applyAlignment="1" quotePrefix="1">
      <alignment horizontal="center" vertical="center"/>
    </xf>
    <xf numFmtId="0" fontId="22" fillId="7" borderId="80" xfId="0" applyFont="1" applyFill="1" applyBorder="1" applyAlignment="1" quotePrefix="1">
      <alignment horizontal="left" vertical="center"/>
    </xf>
    <xf numFmtId="0" fontId="17" fillId="7" borderId="13" xfId="0" applyFont="1" applyFill="1" applyBorder="1" applyAlignment="1" quotePrefix="1">
      <alignment horizontal="center"/>
    </xf>
    <xf numFmtId="0" fontId="17" fillId="7" borderId="25" xfId="0" applyFont="1" applyFill="1" applyBorder="1" applyAlignment="1" quotePrefix="1">
      <alignment horizontal="left"/>
    </xf>
    <xf numFmtId="0" fontId="17" fillId="7" borderId="25" xfId="0" applyFont="1" applyFill="1" applyBorder="1" applyAlignment="1">
      <alignment horizontal="left"/>
    </xf>
    <xf numFmtId="0" fontId="17" fillId="0" borderId="13" xfId="0" applyFont="1" applyFill="1" applyBorder="1" applyAlignment="1" quotePrefix="1">
      <alignment horizontal="center"/>
    </xf>
    <xf numFmtId="0" fontId="22" fillId="0" borderId="13" xfId="0" applyFont="1" applyFill="1" applyBorder="1" applyAlignment="1" quotePrefix="1">
      <alignment horizontal="center"/>
    </xf>
    <xf numFmtId="0" fontId="22" fillId="0" borderId="89" xfId="0" applyFont="1" applyFill="1" applyBorder="1" applyAlignment="1">
      <alignment horizontal="center" vertical="center"/>
    </xf>
    <xf numFmtId="0" fontId="46" fillId="7" borderId="13" xfId="0" applyFont="1" applyFill="1" applyBorder="1" applyAlignment="1">
      <alignment/>
    </xf>
    <xf numFmtId="0" fontId="22" fillId="7" borderId="0" xfId="0" applyFont="1" applyFill="1" applyBorder="1" applyAlignment="1">
      <alignment horizontal="left"/>
    </xf>
    <xf numFmtId="0" fontId="46" fillId="7" borderId="0" xfId="0" applyFont="1" applyFill="1" applyBorder="1" applyAlignment="1">
      <alignment/>
    </xf>
    <xf numFmtId="5" fontId="22" fillId="7" borderId="42" xfId="0" applyNumberFormat="1" applyFont="1" applyFill="1" applyBorder="1" applyAlignment="1" applyProtection="1">
      <alignment/>
      <protection/>
    </xf>
    <xf numFmtId="5" fontId="6" fillId="7" borderId="14" xfId="0" applyNumberFormat="1" applyFont="1" applyFill="1" applyBorder="1" applyAlignment="1" applyProtection="1">
      <alignment/>
      <protection/>
    </xf>
    <xf numFmtId="10" fontId="46" fillId="7" borderId="48" xfId="0" applyNumberFormat="1" applyFont="1" applyFill="1" applyBorder="1" applyAlignment="1" applyProtection="1">
      <alignment/>
      <protection/>
    </xf>
    <xf numFmtId="10" fontId="46" fillId="7" borderId="37" xfId="0" applyNumberFormat="1" applyFont="1" applyFill="1" applyBorder="1" applyAlignment="1" applyProtection="1">
      <alignment/>
      <protection/>
    </xf>
    <xf numFmtId="0" fontId="26" fillId="5" borderId="1" xfId="0" applyFont="1" applyFill="1" applyBorder="1" applyAlignment="1" quotePrefix="1">
      <alignment horizontal="center" wrapText="1"/>
    </xf>
    <xf numFmtId="0" fontId="0" fillId="0" borderId="1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5" fontId="0" fillId="0" borderId="65" xfId="0" applyNumberFormat="1" applyFont="1" applyFill="1" applyBorder="1" applyAlignment="1" applyProtection="1">
      <alignment/>
      <protection/>
    </xf>
    <xf numFmtId="5" fontId="17" fillId="7" borderId="26" xfId="0" applyNumberFormat="1" applyFont="1" applyFill="1" applyBorder="1" applyAlignment="1" applyProtection="1">
      <alignment/>
      <protection/>
    </xf>
    <xf numFmtId="10" fontId="8" fillId="7" borderId="25" xfId="0" applyNumberFormat="1" applyFont="1" applyFill="1" applyBorder="1" applyAlignment="1" applyProtection="1">
      <alignment/>
      <protection/>
    </xf>
    <xf numFmtId="5" fontId="6" fillId="7" borderId="28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26" fillId="0" borderId="6" xfId="0" applyFont="1" applyFill="1" applyBorder="1" applyAlignment="1">
      <alignment/>
    </xf>
    <xf numFmtId="3" fontId="26" fillId="0" borderId="6" xfId="0" applyNumberFormat="1" applyFont="1" applyFill="1" applyBorder="1" applyAlignment="1">
      <alignment/>
    </xf>
    <xf numFmtId="166" fontId="26" fillId="0" borderId="6" xfId="15" applyNumberFormat="1" applyFont="1" applyFill="1" applyBorder="1" applyAlignment="1">
      <alignment/>
    </xf>
    <xf numFmtId="167" fontId="26" fillId="0" borderId="6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15" applyNumberFormat="1" applyFont="1" applyFill="1" applyAlignment="1">
      <alignment/>
    </xf>
    <xf numFmtId="7" fontId="3" fillId="0" borderId="0" xfId="17" applyNumberFormat="1" applyFont="1" applyFill="1" applyAlignment="1">
      <alignment horizontal="center"/>
    </xf>
    <xf numFmtId="7" fontId="3" fillId="0" borderId="0" xfId="17" applyNumberFormat="1" applyFont="1" applyFill="1" applyAlignment="1">
      <alignment/>
    </xf>
    <xf numFmtId="6" fontId="0" fillId="0" borderId="0" xfId="0" applyNumberFormat="1" applyFont="1" applyFill="1" applyAlignment="1">
      <alignment/>
    </xf>
    <xf numFmtId="166" fontId="4" fillId="0" borderId="1" xfId="15" applyNumberFormat="1" applyFont="1" applyFill="1" applyBorder="1" applyAlignment="1" applyProtection="1">
      <alignment/>
      <protection/>
    </xf>
    <xf numFmtId="166" fontId="4" fillId="0" borderId="65" xfId="15" applyNumberFormat="1" applyFont="1" applyFill="1" applyBorder="1" applyAlignment="1" applyProtection="1">
      <alignment/>
      <protection/>
    </xf>
    <xf numFmtId="167" fontId="0" fillId="0" borderId="3" xfId="15" applyNumberFormat="1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5" fontId="26" fillId="0" borderId="2" xfId="0" applyNumberFormat="1" applyFont="1" applyFill="1" applyBorder="1" applyAlignment="1" applyProtection="1">
      <alignment/>
      <protection/>
    </xf>
    <xf numFmtId="166" fontId="4" fillId="0" borderId="90" xfId="15" applyNumberFormat="1" applyFont="1" applyFill="1" applyBorder="1" applyAlignment="1" applyProtection="1">
      <alignment/>
      <protection/>
    </xf>
    <xf numFmtId="167" fontId="23" fillId="5" borderId="7" xfId="0" applyNumberFormat="1" applyFont="1" applyFill="1" applyBorder="1" applyAlignment="1">
      <alignment horizontal="center" wrapText="1"/>
    </xf>
    <xf numFmtId="6" fontId="42" fillId="0" borderId="7" xfId="0" applyNumberFormat="1" applyFont="1" applyFill="1" applyBorder="1" applyAlignment="1">
      <alignment/>
    </xf>
    <xf numFmtId="6" fontId="0" fillId="0" borderId="4" xfId="0" applyNumberFormat="1" applyFill="1" applyBorder="1" applyAlignment="1">
      <alignment/>
    </xf>
    <xf numFmtId="6" fontId="26" fillId="0" borderId="0" xfId="0" applyNumberFormat="1" applyFont="1" applyFill="1" applyBorder="1" applyAlignment="1">
      <alignment/>
    </xf>
    <xf numFmtId="0" fontId="23" fillId="5" borderId="5" xfId="0" applyFont="1" applyFill="1" applyBorder="1" applyAlignment="1" quotePrefix="1">
      <alignment horizontal="center" wrapText="1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left"/>
    </xf>
    <xf numFmtId="0" fontId="22" fillId="0" borderId="9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1" fillId="0" borderId="35" xfId="0" applyFont="1" applyBorder="1" applyAlignment="1" applyProtection="1">
      <alignment horizontal="center" vertical="center"/>
      <protection/>
    </xf>
    <xf numFmtId="0" fontId="3" fillId="0" borderId="35" xfId="0" applyFont="1" applyFill="1" applyBorder="1" applyAlignment="1" quotePrefix="1">
      <alignment horizontal="center" vertical="center"/>
    </xf>
    <xf numFmtId="0" fontId="41" fillId="0" borderId="35" xfId="0" applyFont="1" applyBorder="1" applyAlignment="1">
      <alignment horizontal="center" vertical="center" wrapText="1"/>
    </xf>
    <xf numFmtId="0" fontId="41" fillId="0" borderId="74" xfId="0" applyFont="1" applyBorder="1" applyAlignment="1">
      <alignment horizontal="center" vertical="center" wrapText="1"/>
    </xf>
    <xf numFmtId="0" fontId="43" fillId="0" borderId="35" xfId="0" applyFont="1" applyBorder="1" applyAlignment="1" quotePrefix="1">
      <alignment horizontal="center" vertical="center" wrapText="1"/>
    </xf>
    <xf numFmtId="0" fontId="41" fillId="0" borderId="35" xfId="0" applyFont="1" applyBorder="1" applyAlignment="1" quotePrefix="1">
      <alignment horizontal="center" vertical="center" wrapText="1"/>
    </xf>
    <xf numFmtId="2" fontId="0" fillId="0" borderId="56" xfId="0" applyNumberFormat="1" applyFont="1" applyFill="1" applyBorder="1" applyAlignment="1">
      <alignment/>
    </xf>
    <xf numFmtId="2" fontId="0" fillId="0" borderId="70" xfId="0" applyNumberFormat="1" applyFont="1" applyFill="1" applyBorder="1" applyAlignment="1">
      <alignment/>
    </xf>
    <xf numFmtId="2" fontId="0" fillId="0" borderId="56" xfId="0" applyNumberFormat="1" applyFont="1" applyBorder="1" applyAlignment="1">
      <alignment/>
    </xf>
    <xf numFmtId="2" fontId="26" fillId="0" borderId="71" xfId="0" applyNumberFormat="1" applyFont="1" applyBorder="1" applyAlignment="1">
      <alignment/>
    </xf>
    <xf numFmtId="0" fontId="41" fillId="0" borderId="0" xfId="0" applyFont="1" applyBorder="1" applyAlignment="1" quotePrefix="1">
      <alignment horizontal="center" vertical="center" wrapText="1"/>
    </xf>
    <xf numFmtId="0" fontId="0" fillId="0" borderId="41" xfId="0" applyFill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6" borderId="35" xfId="0" applyFill="1" applyBorder="1" applyAlignment="1">
      <alignment/>
    </xf>
    <xf numFmtId="167" fontId="48" fillId="5" borderId="7" xfId="0" applyNumberFormat="1" applyFont="1" applyFill="1" applyBorder="1" applyAlignment="1">
      <alignment horizontal="center" wrapText="1"/>
    </xf>
    <xf numFmtId="5" fontId="26" fillId="0" borderId="63" xfId="0" applyNumberFormat="1" applyFont="1" applyFill="1" applyBorder="1" applyAlignment="1" applyProtection="1">
      <alignment/>
      <protection/>
    </xf>
    <xf numFmtId="5" fontId="4" fillId="0" borderId="92" xfId="0" applyNumberFormat="1" applyFont="1" applyFill="1" applyBorder="1" applyAlignment="1" applyProtection="1">
      <alignment/>
      <protection/>
    </xf>
    <xf numFmtId="5" fontId="26" fillId="0" borderId="93" xfId="0" applyNumberFormat="1" applyFont="1" applyFill="1" applyBorder="1" applyAlignment="1" applyProtection="1">
      <alignment/>
      <protection/>
    </xf>
    <xf numFmtId="37" fontId="0" fillId="0" borderId="94" xfId="0" applyNumberFormat="1" applyFill="1" applyBorder="1" applyAlignment="1" applyProtection="1">
      <alignment/>
      <protection/>
    </xf>
    <xf numFmtId="37" fontId="0" fillId="0" borderId="95" xfId="0" applyNumberFormat="1" applyFill="1" applyBorder="1" applyAlignment="1" applyProtection="1">
      <alignment/>
      <protection/>
    </xf>
    <xf numFmtId="37" fontId="0" fillId="0" borderId="96" xfId="0" applyNumberFormat="1" applyFill="1" applyBorder="1" applyAlignment="1" applyProtection="1">
      <alignment/>
      <protection/>
    </xf>
    <xf numFmtId="37" fontId="0" fillId="0" borderId="75" xfId="0" applyNumberFormat="1" applyFill="1" applyBorder="1" applyAlignment="1" applyProtection="1">
      <alignment/>
      <protection/>
    </xf>
    <xf numFmtId="37" fontId="0" fillId="0" borderId="56" xfId="0" applyNumberFormat="1" applyFill="1" applyBorder="1" applyAlignment="1" applyProtection="1">
      <alignment/>
      <protection/>
    </xf>
    <xf numFmtId="37" fontId="0" fillId="0" borderId="70" xfId="0" applyNumberFormat="1" applyFill="1" applyBorder="1" applyAlignment="1" applyProtection="1">
      <alignment/>
      <protection/>
    </xf>
    <xf numFmtId="0" fontId="0" fillId="5" borderId="75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37" fontId="0" fillId="0" borderId="4" xfId="0" applyNumberFormat="1" applyFill="1" applyBorder="1" applyAlignment="1" applyProtection="1">
      <alignment/>
      <protection/>
    </xf>
    <xf numFmtId="37" fontId="0" fillId="0" borderId="5" xfId="0" applyNumberFormat="1" applyFill="1" applyBorder="1" applyAlignment="1" applyProtection="1">
      <alignment/>
      <protection/>
    </xf>
    <xf numFmtId="37" fontId="0" fillId="0" borderId="7" xfId="0" applyNumberFormat="1" applyFill="1" applyBorder="1" applyAlignment="1" applyProtection="1">
      <alignment/>
      <protection/>
    </xf>
    <xf numFmtId="0" fontId="0" fillId="5" borderId="7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0" fontId="4" fillId="9" borderId="97" xfId="0" applyFont="1" applyFill="1" applyBorder="1" applyAlignment="1" quotePrefix="1">
      <alignment horizontal="center"/>
    </xf>
    <xf numFmtId="0" fontId="4" fillId="9" borderId="0" xfId="0" applyFont="1" applyFill="1" applyBorder="1" applyAlignment="1">
      <alignment horizontal="center"/>
    </xf>
    <xf numFmtId="0" fontId="4" fillId="9" borderId="56" xfId="0" applyFont="1" applyFill="1" applyBorder="1" applyAlignment="1">
      <alignment horizontal="center"/>
    </xf>
    <xf numFmtId="0" fontId="0" fillId="0" borderId="56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0" xfId="0" applyFill="1" applyBorder="1" applyAlignment="1">
      <alignment wrapText="1"/>
    </xf>
    <xf numFmtId="0" fontId="22" fillId="0" borderId="98" xfId="0" applyFont="1" applyFill="1" applyBorder="1" applyAlignment="1" quotePrefix="1">
      <alignment horizontal="center"/>
    </xf>
    <xf numFmtId="0" fontId="22" fillId="0" borderId="99" xfId="0" applyFont="1" applyFill="1" applyBorder="1" applyAlignment="1">
      <alignment horizontal="left"/>
    </xf>
    <xf numFmtId="0" fontId="22" fillId="0" borderId="100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/>
    </xf>
    <xf numFmtId="0" fontId="26" fillId="5" borderId="4" xfId="0" applyFont="1" applyFill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26" fillId="5" borderId="101" xfId="0" applyFont="1" applyFill="1" applyBorder="1" applyAlignment="1" quotePrefix="1">
      <alignment horizontal="center" vertical="center" wrapText="1"/>
    </xf>
    <xf numFmtId="0" fontId="4" fillId="5" borderId="102" xfId="0" applyFont="1" applyFill="1" applyBorder="1" applyAlignment="1">
      <alignment horizontal="center" vertical="center" wrapText="1"/>
    </xf>
    <xf numFmtId="5" fontId="0" fillId="0" borderId="103" xfId="0" applyNumberFormat="1" applyFont="1" applyFill="1" applyBorder="1" applyAlignment="1" applyProtection="1">
      <alignment/>
      <protection/>
    </xf>
    <xf numFmtId="5" fontId="0" fillId="0" borderId="104" xfId="0" applyNumberFormat="1" applyFont="1" applyFill="1" applyBorder="1" applyAlignment="1" applyProtection="1">
      <alignment/>
      <protection/>
    </xf>
    <xf numFmtId="167" fontId="0" fillId="0" borderId="62" xfId="15" applyNumberFormat="1" applyFont="1" applyFill="1" applyBorder="1" applyAlignment="1" applyProtection="1">
      <alignment/>
      <protection/>
    </xf>
    <xf numFmtId="0" fontId="26" fillId="5" borderId="101" xfId="0" applyFont="1" applyFill="1" applyBorder="1" applyAlignment="1">
      <alignment horizontal="center" wrapText="1"/>
    </xf>
    <xf numFmtId="167" fontId="20" fillId="5" borderId="105" xfId="0" applyNumberFormat="1" applyFont="1" applyFill="1" applyBorder="1" applyAlignment="1">
      <alignment horizontal="center" wrapText="1"/>
    </xf>
    <xf numFmtId="37" fontId="0" fillId="0" borderId="103" xfId="15" applyNumberFormat="1" applyFont="1" applyFill="1" applyBorder="1" applyAlignment="1" applyProtection="1">
      <alignment/>
      <protection/>
    </xf>
    <xf numFmtId="5" fontId="0" fillId="0" borderId="106" xfId="0" applyNumberFormat="1" applyFont="1" applyFill="1" applyBorder="1" applyAlignment="1" applyProtection="1">
      <alignment/>
      <protection/>
    </xf>
    <xf numFmtId="166" fontId="0" fillId="0" borderId="103" xfId="15" applyNumberFormat="1" applyFont="1" applyFill="1" applyBorder="1" applyAlignment="1" applyProtection="1">
      <alignment/>
      <protection/>
    </xf>
    <xf numFmtId="166" fontId="26" fillId="0" borderId="107" xfId="15" applyNumberFormat="1" applyFont="1" applyFill="1" applyBorder="1" applyAlignment="1" applyProtection="1">
      <alignment/>
      <protection/>
    </xf>
    <xf numFmtId="5" fontId="26" fillId="0" borderId="108" xfId="0" applyNumberFormat="1" applyFont="1" applyFill="1" applyBorder="1" applyAlignment="1" applyProtection="1">
      <alignment/>
      <protection/>
    </xf>
    <xf numFmtId="167" fontId="0" fillId="0" borderId="106" xfId="15" applyNumberFormat="1" applyFont="1" applyFill="1" applyBorder="1" applyAlignment="1" applyProtection="1">
      <alignment/>
      <protection/>
    </xf>
    <xf numFmtId="0" fontId="41" fillId="0" borderId="35" xfId="0" applyFont="1" applyBorder="1" applyAlignment="1" applyProtection="1" quotePrefix="1">
      <alignment horizontal="center" vertical="center" wrapText="1"/>
      <protection/>
    </xf>
    <xf numFmtId="38" fontId="0" fillId="0" borderId="0" xfId="0" applyNumberFormat="1" applyFont="1" applyBorder="1" applyAlignment="1">
      <alignment/>
    </xf>
    <xf numFmtId="0" fontId="26" fillId="7" borderId="35" xfId="0" applyFont="1" applyFill="1" applyBorder="1" applyAlignment="1" quotePrefix="1">
      <alignment horizontal="center" vertical="center" wrapText="1"/>
    </xf>
    <xf numFmtId="49" fontId="20" fillId="6" borderId="109" xfId="0" applyNumberFormat="1" applyFont="1" applyFill="1" applyBorder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0" fontId="0" fillId="0" borderId="4" xfId="0" applyBorder="1" applyAlignment="1">
      <alignment/>
    </xf>
    <xf numFmtId="0" fontId="41" fillId="0" borderId="4" xfId="0" applyFont="1" applyBorder="1" applyAlignment="1" quotePrefix="1">
      <alignment horizontal="center" vertical="center" wrapText="1"/>
    </xf>
    <xf numFmtId="0" fontId="41" fillId="0" borderId="75" xfId="0" applyFont="1" applyBorder="1" applyAlignment="1" quotePrefix="1">
      <alignment horizontal="center" vertical="center" wrapText="1"/>
    </xf>
    <xf numFmtId="0" fontId="20" fillId="6" borderId="7" xfId="0" applyFont="1" applyFill="1" applyBorder="1" applyAlignment="1" quotePrefix="1">
      <alignment horizontal="center"/>
    </xf>
    <xf numFmtId="6" fontId="20" fillId="6" borderId="35" xfId="0" applyNumberFormat="1" applyFont="1" applyFill="1" applyBorder="1" applyAlignment="1">
      <alignment horizontal="center"/>
    </xf>
    <xf numFmtId="6" fontId="0" fillId="0" borderId="4" xfId="0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17" fillId="0" borderId="16" xfId="0" applyFont="1" applyFill="1" applyBorder="1" applyAlignment="1" quotePrefix="1">
      <alignment horizontal="left"/>
    </xf>
    <xf numFmtId="166" fontId="4" fillId="0" borderId="4" xfId="15" applyNumberFormat="1" applyFont="1" applyBorder="1" applyAlignment="1">
      <alignment horizontal="center"/>
    </xf>
    <xf numFmtId="6" fontId="3" fillId="0" borderId="35" xfId="0" applyNumberFormat="1" applyFont="1" applyFill="1" applyBorder="1" applyAlignment="1">
      <alignment horizontal="center" vertical="center" wrapText="1"/>
    </xf>
    <xf numFmtId="0" fontId="26" fillId="5" borderId="110" xfId="0" applyFont="1" applyFill="1" applyBorder="1" applyAlignment="1" quotePrefix="1">
      <alignment horizontal="center" vertical="center" wrapText="1"/>
    </xf>
    <xf numFmtId="49" fontId="20" fillId="6" borderId="111" xfId="0" applyNumberFormat="1" applyFont="1" applyFill="1" applyBorder="1" applyAlignment="1" applyProtection="1" quotePrefix="1">
      <alignment horizontal="center"/>
      <protection/>
    </xf>
    <xf numFmtId="38" fontId="26" fillId="0" borderId="112" xfId="15" applyNumberFormat="1" applyFont="1" applyFill="1" applyBorder="1" applyAlignment="1" applyProtection="1">
      <alignment/>
      <protection/>
    </xf>
    <xf numFmtId="6" fontId="26" fillId="0" borderId="113" xfId="0" applyNumberFormat="1" applyFont="1" applyBorder="1" applyAlignment="1">
      <alignment/>
    </xf>
    <xf numFmtId="6" fontId="0" fillId="0" borderId="69" xfId="15" applyNumberFormat="1" applyFont="1" applyFill="1" applyBorder="1" applyAlignment="1" applyProtection="1">
      <alignment/>
      <protection/>
    </xf>
    <xf numFmtId="0" fontId="0" fillId="5" borderId="38" xfId="0" applyFont="1" applyFill="1" applyBorder="1" applyAlignment="1" quotePrefix="1">
      <alignment horizontal="center"/>
    </xf>
    <xf numFmtId="0" fontId="42" fillId="0" borderId="4" xfId="0" applyFont="1" applyBorder="1" applyAlignment="1" quotePrefix="1">
      <alignment horizontal="center"/>
    </xf>
    <xf numFmtId="0" fontId="40" fillId="10" borderId="114" xfId="0" applyFont="1" applyFill="1" applyBorder="1" applyAlignment="1" applyProtection="1">
      <alignment horizontal="center" vertical="center" wrapText="1"/>
      <protection/>
    </xf>
    <xf numFmtId="0" fontId="26" fillId="7" borderId="115" xfId="0" applyFont="1" applyFill="1" applyBorder="1" applyAlignment="1" quotePrefix="1">
      <alignment horizontal="center" vertical="center" wrapText="1"/>
    </xf>
    <xf numFmtId="0" fontId="0" fillId="7" borderId="116" xfId="0" applyFont="1" applyFill="1" applyBorder="1" applyAlignment="1">
      <alignment horizontal="center" wrapText="1"/>
    </xf>
    <xf numFmtId="167" fontId="0" fillId="0" borderId="117" xfId="15" applyNumberFormat="1" applyFont="1" applyFill="1" applyBorder="1" applyAlignment="1" applyProtection="1">
      <alignment/>
      <protection/>
    </xf>
    <xf numFmtId="5" fontId="26" fillId="0" borderId="118" xfId="0" applyNumberFormat="1" applyFont="1" applyFill="1" applyBorder="1" applyAlignment="1" applyProtection="1">
      <alignment/>
      <protection/>
    </xf>
    <xf numFmtId="0" fontId="43" fillId="0" borderId="74" xfId="0" applyFont="1" applyBorder="1" applyAlignment="1" quotePrefix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5" fontId="0" fillId="0" borderId="119" xfId="0" applyNumberFormat="1" applyFont="1" applyFill="1" applyBorder="1" applyAlignment="1" applyProtection="1">
      <alignment/>
      <protection/>
    </xf>
    <xf numFmtId="49" fontId="20" fillId="6" borderId="104" xfId="0" applyNumberFormat="1" applyFont="1" applyFill="1" applyBorder="1" applyAlignment="1" applyProtection="1" quotePrefix="1">
      <alignment horizontal="center"/>
      <protection/>
    </xf>
    <xf numFmtId="49" fontId="20" fillId="6" borderId="120" xfId="0" applyNumberFormat="1" applyFont="1" applyFill="1" applyBorder="1" applyAlignment="1" applyProtection="1" quotePrefix="1">
      <alignment horizontal="center"/>
      <protection/>
    </xf>
    <xf numFmtId="6" fontId="26" fillId="0" borderId="121" xfId="15" applyNumberFormat="1" applyFont="1" applyFill="1" applyBorder="1" applyAlignment="1" applyProtection="1">
      <alignment/>
      <protection/>
    </xf>
    <xf numFmtId="0" fontId="26" fillId="5" borderId="110" xfId="0" applyFont="1" applyFill="1" applyBorder="1" applyAlignment="1" quotePrefix="1">
      <alignment horizontal="center" wrapText="1"/>
    </xf>
    <xf numFmtId="0" fontId="53" fillId="0" borderId="73" xfId="0" applyFont="1" applyBorder="1" applyAlignment="1" quotePrefix="1">
      <alignment horizontal="center" vertical="center" wrapText="1"/>
    </xf>
    <xf numFmtId="5" fontId="0" fillId="0" borderId="122" xfId="0" applyNumberFormat="1" applyFont="1" applyFill="1" applyBorder="1" applyAlignment="1" applyProtection="1">
      <alignment/>
      <protection/>
    </xf>
    <xf numFmtId="166" fontId="0" fillId="0" borderId="65" xfId="15" applyNumberFormat="1" applyFont="1" applyFill="1" applyBorder="1" applyAlignment="1" applyProtection="1">
      <alignment/>
      <protection/>
    </xf>
    <xf numFmtId="5" fontId="4" fillId="0" borderId="106" xfId="0" applyNumberFormat="1" applyFont="1" applyFill="1" applyBorder="1" applyAlignment="1" applyProtection="1">
      <alignment/>
      <protection/>
    </xf>
    <xf numFmtId="5" fontId="4" fillId="0" borderId="123" xfId="0" applyNumberFormat="1" applyFont="1" applyFill="1" applyBorder="1" applyAlignment="1" applyProtection="1">
      <alignment/>
      <protection/>
    </xf>
    <xf numFmtId="6" fontId="0" fillId="0" borderId="3" xfId="0" applyNumberFormat="1" applyFont="1" applyFill="1" applyBorder="1" applyAlignment="1" applyProtection="1">
      <alignment/>
      <protection/>
    </xf>
    <xf numFmtId="6" fontId="26" fillId="0" borderId="2" xfId="0" applyNumberFormat="1" applyFont="1" applyFill="1" applyBorder="1" applyAlignment="1" applyProtection="1">
      <alignment/>
      <protection/>
    </xf>
    <xf numFmtId="4" fontId="0" fillId="0" borderId="38" xfId="15" applyNumberFormat="1" applyFont="1" applyBorder="1" applyAlignment="1">
      <alignment/>
    </xf>
    <xf numFmtId="6" fontId="0" fillId="0" borderId="70" xfId="0" applyNumberFormat="1" applyBorder="1" applyAlignment="1">
      <alignment/>
    </xf>
    <xf numFmtId="43" fontId="0" fillId="0" borderId="7" xfId="15" applyFont="1" applyBorder="1" applyAlignment="1">
      <alignment/>
    </xf>
    <xf numFmtId="167" fontId="0" fillId="0" borderId="117" xfId="0" applyNumberFormat="1" applyFont="1" applyFill="1" applyBorder="1" applyAlignment="1">
      <alignment/>
    </xf>
    <xf numFmtId="167" fontId="0" fillId="0" borderId="116" xfId="0" applyNumberFormat="1" applyFont="1" applyFill="1" applyBorder="1" applyAlignment="1">
      <alignment/>
    </xf>
    <xf numFmtId="0" fontId="0" fillId="0" borderId="116" xfId="0" applyFont="1" applyBorder="1" applyAlignment="1">
      <alignment/>
    </xf>
    <xf numFmtId="10" fontId="0" fillId="0" borderId="39" xfId="0" applyNumberFormat="1" applyFont="1" applyBorder="1" applyAlignment="1">
      <alignment/>
    </xf>
    <xf numFmtId="10" fontId="0" fillId="0" borderId="7" xfId="15" applyNumberFormat="1" applyFont="1" applyBorder="1" applyAlignment="1">
      <alignment/>
    </xf>
    <xf numFmtId="10" fontId="26" fillId="0" borderId="40" xfId="15" applyNumberFormat="1" applyFont="1" applyBorder="1" applyAlignment="1">
      <alignment/>
    </xf>
    <xf numFmtId="0" fontId="7" fillId="0" borderId="4" xfId="0" applyFont="1" applyBorder="1" applyAlignment="1">
      <alignment/>
    </xf>
    <xf numFmtId="0" fontId="0" fillId="6" borderId="35" xfId="0" applyFont="1" applyFill="1" applyBorder="1" applyAlignment="1" applyProtection="1">
      <alignment/>
      <protection/>
    </xf>
    <xf numFmtId="0" fontId="0" fillId="6" borderId="73" xfId="0" applyFont="1" applyFill="1" applyBorder="1" applyAlignment="1" applyProtection="1">
      <alignment/>
      <protection/>
    </xf>
    <xf numFmtId="0" fontId="20" fillId="6" borderId="35" xfId="0" applyFont="1" applyFill="1" applyBorder="1" applyAlignment="1" applyProtection="1">
      <alignment horizontal="center"/>
      <protection/>
    </xf>
    <xf numFmtId="49" fontId="20" fillId="6" borderId="35" xfId="0" applyNumberFormat="1" applyFont="1" applyFill="1" applyBorder="1" applyAlignment="1" applyProtection="1">
      <alignment horizontal="center"/>
      <protection/>
    </xf>
    <xf numFmtId="49" fontId="20" fillId="6" borderId="35" xfId="0" applyNumberFormat="1" applyFont="1" applyFill="1" applyBorder="1" applyAlignment="1" applyProtection="1" quotePrefix="1">
      <alignment horizontal="center"/>
      <protection/>
    </xf>
    <xf numFmtId="6" fontId="4" fillId="0" borderId="1" xfId="0" applyNumberFormat="1" applyFont="1" applyFill="1" applyBorder="1" applyAlignment="1" applyProtection="1">
      <alignment/>
      <protection/>
    </xf>
    <xf numFmtId="6" fontId="4" fillId="0" borderId="65" xfId="0" applyNumberFormat="1" applyFont="1" applyFill="1" applyBorder="1" applyAlignment="1" applyProtection="1">
      <alignment/>
      <protection/>
    </xf>
    <xf numFmtId="5" fontId="4" fillId="7" borderId="106" xfId="0" applyNumberFormat="1" applyFont="1" applyFill="1" applyBorder="1" applyAlignment="1" applyProtection="1">
      <alignment/>
      <protection/>
    </xf>
    <xf numFmtId="5" fontId="4" fillId="7" borderId="123" xfId="0" applyNumberFormat="1" applyFont="1" applyFill="1" applyBorder="1" applyAlignment="1" applyProtection="1">
      <alignment/>
      <protection/>
    </xf>
    <xf numFmtId="38" fontId="0" fillId="0" borderId="5" xfId="0" applyNumberFormat="1" applyFont="1" applyBorder="1" applyAlignment="1">
      <alignment/>
    </xf>
    <xf numFmtId="38" fontId="0" fillId="0" borderId="7" xfId="0" applyNumberFormat="1" applyFont="1" applyBorder="1" applyAlignment="1">
      <alignment/>
    </xf>
    <xf numFmtId="0" fontId="54" fillId="0" borderId="0" xfId="0" applyFont="1" applyAlignment="1" quotePrefix="1">
      <alignment horizontal="center" wrapText="1"/>
    </xf>
    <xf numFmtId="0" fontId="41" fillId="0" borderId="35" xfId="0" applyFont="1" applyFill="1" applyBorder="1" applyAlignment="1" quotePrefix="1">
      <alignment horizontal="center" vertical="center" wrapText="1"/>
    </xf>
    <xf numFmtId="0" fontId="41" fillId="0" borderId="35" xfId="0" applyFont="1" applyFill="1" applyBorder="1" applyAlignment="1" quotePrefix="1">
      <alignment horizontal="center" vertical="center"/>
    </xf>
    <xf numFmtId="6" fontId="0" fillId="0" borderId="124" xfId="0" applyNumberFormat="1" applyFont="1" applyFill="1" applyBorder="1" applyAlignment="1" applyProtection="1">
      <alignment/>
      <protection/>
    </xf>
    <xf numFmtId="6" fontId="26" fillId="0" borderId="63" xfId="0" applyNumberFormat="1" applyFont="1" applyFill="1" applyBorder="1" applyAlignment="1" applyProtection="1">
      <alignment/>
      <protection/>
    </xf>
    <xf numFmtId="0" fontId="43" fillId="0" borderId="4" xfId="0" applyFont="1" applyBorder="1" applyAlignment="1" quotePrefix="1">
      <alignment horizontal="center" vertical="center" wrapText="1"/>
    </xf>
    <xf numFmtId="0" fontId="51" fillId="0" borderId="4" xfId="0" applyFont="1" applyBorder="1" applyAlignment="1" quotePrefix="1">
      <alignment horizontal="center" vertical="center" wrapText="1"/>
    </xf>
    <xf numFmtId="0" fontId="26" fillId="11" borderId="110" xfId="0" applyFont="1" applyFill="1" applyBorder="1" applyAlignment="1" applyProtection="1">
      <alignment horizontal="center" wrapText="1"/>
      <protection/>
    </xf>
    <xf numFmtId="0" fontId="26" fillId="5" borderId="101" xfId="0" applyFont="1" applyFill="1" applyBorder="1" applyAlignment="1">
      <alignment horizontal="center" vertical="center" wrapText="1"/>
    </xf>
    <xf numFmtId="0" fontId="23" fillId="5" borderId="102" xfId="0" applyFont="1" applyFill="1" applyBorder="1" applyAlignment="1">
      <alignment horizontal="center" wrapText="1"/>
    </xf>
    <xf numFmtId="0" fontId="4" fillId="5" borderId="105" xfId="0" applyFont="1" applyFill="1" applyBorder="1" applyAlignment="1">
      <alignment horizontal="center" vertical="center" wrapText="1"/>
    </xf>
    <xf numFmtId="0" fontId="20" fillId="6" borderId="104" xfId="0" applyFont="1" applyFill="1" applyBorder="1" applyAlignment="1" applyProtection="1">
      <alignment horizontal="center"/>
      <protection/>
    </xf>
    <xf numFmtId="5" fontId="4" fillId="0" borderId="103" xfId="0" applyNumberFormat="1" applyFont="1" applyFill="1" applyBorder="1" applyAlignment="1" applyProtection="1">
      <alignment/>
      <protection/>
    </xf>
    <xf numFmtId="166" fontId="0" fillId="0" borderId="106" xfId="15" applyNumberFormat="1" applyFont="1" applyFill="1" applyBorder="1" applyAlignment="1" applyProtection="1">
      <alignment/>
      <protection/>
    </xf>
    <xf numFmtId="5" fontId="4" fillId="0" borderId="104" xfId="0" applyNumberFormat="1" applyFont="1" applyFill="1" applyBorder="1" applyAlignment="1" applyProtection="1">
      <alignment/>
      <protection/>
    </xf>
    <xf numFmtId="166" fontId="0" fillId="0" borderId="123" xfId="15" applyNumberFormat="1" applyFont="1" applyFill="1" applyBorder="1" applyAlignment="1" applyProtection="1">
      <alignment/>
      <protection/>
    </xf>
    <xf numFmtId="5" fontId="5" fillId="0" borderId="103" xfId="0" applyNumberFormat="1" applyFont="1" applyFill="1" applyBorder="1" applyAlignment="1" applyProtection="1">
      <alignment/>
      <protection locked="0"/>
    </xf>
    <xf numFmtId="5" fontId="26" fillId="0" borderId="107" xfId="0" applyNumberFormat="1" applyFont="1" applyFill="1" applyBorder="1" applyAlignment="1" applyProtection="1">
      <alignment/>
      <protection/>
    </xf>
    <xf numFmtId="166" fontId="26" fillId="0" borderId="108" xfId="15" applyNumberFormat="1" applyFont="1" applyFill="1" applyBorder="1" applyAlignment="1" applyProtection="1">
      <alignment/>
      <protection/>
    </xf>
    <xf numFmtId="49" fontId="20" fillId="6" borderId="3" xfId="0" applyNumberFormat="1" applyFont="1" applyFill="1" applyBorder="1" applyAlignment="1" applyProtection="1" quotePrefix="1">
      <alignment horizontal="center"/>
      <protection/>
    </xf>
    <xf numFmtId="49" fontId="20" fillId="6" borderId="123" xfId="0" applyNumberFormat="1" applyFont="1" applyFill="1" applyBorder="1" applyAlignment="1" applyProtection="1" quotePrefix="1">
      <alignment horizontal="center"/>
      <protection/>
    </xf>
    <xf numFmtId="49" fontId="20" fillId="6" borderId="125" xfId="0" applyNumberFormat="1" applyFont="1" applyFill="1" applyBorder="1" applyAlignment="1" applyProtection="1" quotePrefix="1">
      <alignment horizontal="center"/>
      <protection/>
    </xf>
    <xf numFmtId="49" fontId="20" fillId="6" borderId="126" xfId="0" applyNumberFormat="1" applyFont="1" applyFill="1" applyBorder="1" applyAlignment="1" applyProtection="1" quotePrefix="1">
      <alignment horizontal="center"/>
      <protection/>
    </xf>
    <xf numFmtId="0" fontId="26" fillId="5" borderId="101" xfId="0" applyFont="1" applyFill="1" applyBorder="1" applyAlignment="1" applyProtection="1">
      <alignment/>
      <protection/>
    </xf>
    <xf numFmtId="0" fontId="26" fillId="5" borderId="105" xfId="0" applyFont="1" applyFill="1" applyBorder="1" applyAlignment="1" applyProtection="1">
      <alignment/>
      <protection/>
    </xf>
    <xf numFmtId="0" fontId="4" fillId="6" borderId="127" xfId="0" applyFont="1" applyFill="1" applyBorder="1" applyAlignment="1" applyProtection="1">
      <alignment/>
      <protection/>
    </xf>
    <xf numFmtId="0" fontId="0" fillId="0" borderId="106" xfId="0" applyFont="1" applyFill="1" applyBorder="1" applyAlignment="1" applyProtection="1">
      <alignment/>
      <protection/>
    </xf>
    <xf numFmtId="0" fontId="0" fillId="0" borderId="123" xfId="0" applyFont="1" applyFill="1" applyBorder="1" applyAlignment="1" applyProtection="1">
      <alignment/>
      <protection/>
    </xf>
    <xf numFmtId="0" fontId="4" fillId="0" borderId="106" xfId="0" applyFont="1" applyFill="1" applyBorder="1" applyAlignment="1" applyProtection="1">
      <alignment/>
      <protection/>
    </xf>
    <xf numFmtId="0" fontId="26" fillId="0" borderId="108" xfId="0" applyFont="1" applyFill="1" applyBorder="1" applyAlignment="1" applyProtection="1">
      <alignment horizontal="center"/>
      <protection/>
    </xf>
    <xf numFmtId="0" fontId="41" fillId="0" borderId="128" xfId="0" applyFont="1" applyBorder="1" applyAlignment="1">
      <alignment horizontal="center" wrapText="1"/>
    </xf>
    <xf numFmtId="0" fontId="43" fillId="0" borderId="129" xfId="0" applyFont="1" applyBorder="1" applyAlignment="1" quotePrefix="1">
      <alignment horizontal="center" vertical="center" wrapText="1"/>
    </xf>
    <xf numFmtId="0" fontId="51" fillId="0" borderId="129" xfId="0" applyFont="1" applyBorder="1" applyAlignment="1" quotePrefix="1">
      <alignment horizontal="center" vertical="center" wrapText="1"/>
    </xf>
    <xf numFmtId="0" fontId="4" fillId="0" borderId="56" xfId="0" applyFont="1" applyBorder="1" applyAlignment="1" applyProtection="1">
      <alignment horizontal="center"/>
      <protection/>
    </xf>
    <xf numFmtId="0" fontId="4" fillId="0" borderId="130" xfId="0" applyFont="1" applyBorder="1" applyAlignment="1" applyProtection="1">
      <alignment/>
      <protection/>
    </xf>
    <xf numFmtId="0" fontId="16" fillId="0" borderId="0" xfId="0" applyFont="1" applyFill="1" applyAlignment="1" quotePrefix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1" fillId="0" borderId="35" xfId="0" applyFont="1" applyBorder="1" applyAlignment="1" applyProtection="1" quotePrefix="1">
      <alignment horizontal="center" vertical="center"/>
      <protection/>
    </xf>
    <xf numFmtId="6" fontId="0" fillId="0" borderId="1" xfId="0" applyNumberFormat="1" applyFont="1" applyBorder="1" applyAlignment="1" applyProtection="1">
      <alignment/>
      <protection/>
    </xf>
    <xf numFmtId="6" fontId="0" fillId="0" borderId="3" xfId="0" applyNumberFormat="1" applyFont="1" applyBorder="1" applyAlignment="1" applyProtection="1">
      <alignment/>
      <protection/>
    </xf>
    <xf numFmtId="6" fontId="26" fillId="2" borderId="2" xfId="0" applyNumberFormat="1" applyFont="1" applyFill="1" applyBorder="1" applyAlignment="1" applyProtection="1">
      <alignment/>
      <protection/>
    </xf>
    <xf numFmtId="0" fontId="26" fillId="5" borderId="32" xfId="0" applyFont="1" applyFill="1" applyBorder="1" applyAlignment="1" applyProtection="1" quotePrefix="1">
      <alignment horizontal="center" wrapText="1"/>
      <protection locked="0"/>
    </xf>
    <xf numFmtId="0" fontId="26" fillId="5" borderId="4" xfId="0" applyFont="1" applyFill="1" applyBorder="1" applyAlignment="1" applyProtection="1">
      <alignment horizontal="center" wrapText="1"/>
      <protection locked="0"/>
    </xf>
    <xf numFmtId="0" fontId="4" fillId="12" borderId="4" xfId="0" applyFont="1" applyFill="1" applyBorder="1" applyAlignment="1">
      <alignment horizontal="center"/>
    </xf>
    <xf numFmtId="166" fontId="4" fillId="12" borderId="4" xfId="15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 wrapText="1"/>
    </xf>
    <xf numFmtId="166" fontId="0" fillId="0" borderId="7" xfId="15" applyNumberFormat="1" applyFill="1" applyBorder="1" applyAlignment="1">
      <alignment/>
    </xf>
    <xf numFmtId="1" fontId="4" fillId="0" borderId="6" xfId="15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0" fontId="41" fillId="0" borderId="0" xfId="0" applyFont="1" applyBorder="1" applyAlignment="1">
      <alignment horizontal="center" vertical="center" wrapText="1"/>
    </xf>
    <xf numFmtId="40" fontId="0" fillId="0" borderId="5" xfId="0" applyNumberFormat="1" applyFont="1" applyFill="1" applyBorder="1" applyAlignment="1">
      <alignment/>
    </xf>
    <xf numFmtId="40" fontId="0" fillId="0" borderId="7" xfId="0" applyNumberFormat="1" applyFont="1" applyFill="1" applyBorder="1" applyAlignment="1">
      <alignment/>
    </xf>
    <xf numFmtId="10" fontId="0" fillId="0" borderId="5" xfId="0" applyNumberFormat="1" applyFont="1" applyFill="1" applyBorder="1" applyAlignment="1">
      <alignment/>
    </xf>
    <xf numFmtId="10" fontId="0" fillId="0" borderId="7" xfId="0" applyNumberFormat="1" applyFont="1" applyFill="1" applyBorder="1" applyAlignment="1">
      <alignment/>
    </xf>
    <xf numFmtId="196" fontId="0" fillId="0" borderId="5" xfId="21" applyNumberFormat="1" applyFont="1" applyFill="1" applyBorder="1" applyAlignment="1">
      <alignment/>
    </xf>
    <xf numFmtId="196" fontId="0" fillId="0" borderId="39" xfId="21" applyNumberFormat="1" applyFont="1" applyFill="1" applyBorder="1" applyAlignment="1">
      <alignment/>
    </xf>
    <xf numFmtId="196" fontId="0" fillId="0" borderId="7" xfId="21" applyNumberFormat="1" applyFont="1" applyFill="1" applyBorder="1" applyAlignment="1">
      <alignment/>
    </xf>
    <xf numFmtId="196" fontId="0" fillId="0" borderId="38" xfId="21" applyNumberFormat="1" applyFont="1" applyFill="1" applyBorder="1" applyAlignment="1">
      <alignment/>
    </xf>
    <xf numFmtId="10" fontId="0" fillId="0" borderId="5" xfId="21" applyNumberFormat="1" applyFont="1" applyFill="1" applyBorder="1" applyAlignment="1">
      <alignment/>
    </xf>
    <xf numFmtId="10" fontId="0" fillId="0" borderId="7" xfId="21" applyNumberFormat="1" applyFont="1" applyFill="1" applyBorder="1" applyAlignment="1">
      <alignment/>
    </xf>
    <xf numFmtId="0" fontId="7" fillId="0" borderId="35" xfId="0" applyFont="1" applyBorder="1" applyAlignment="1">
      <alignment horizontal="center" wrapText="1"/>
    </xf>
    <xf numFmtId="0" fontId="26" fillId="5" borderId="97" xfId="0" applyFont="1" applyFill="1" applyBorder="1" applyAlignment="1" applyProtection="1">
      <alignment horizontal="center" wrapText="1"/>
      <protection locked="0"/>
    </xf>
    <xf numFmtId="0" fontId="26" fillId="5" borderId="102" xfId="0" applyFont="1" applyFill="1" applyBorder="1" applyAlignment="1">
      <alignment horizontal="center" wrapText="1"/>
    </xf>
    <xf numFmtId="37" fontId="0" fillId="0" borderId="131" xfId="15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37" fontId="0" fillId="8" borderId="0" xfId="0" applyNumberFormat="1" applyFill="1" applyBorder="1" applyAlignment="1">
      <alignment/>
    </xf>
    <xf numFmtId="0" fontId="0" fillId="0" borderId="4" xfId="0" applyFont="1" applyFill="1" applyBorder="1" applyAlignment="1">
      <alignment/>
    </xf>
    <xf numFmtId="6" fontId="0" fillId="0" borderId="65" xfId="0" applyNumberFormat="1" applyFont="1" applyFill="1" applyBorder="1" applyAlignment="1" applyProtection="1">
      <alignment/>
      <protection/>
    </xf>
    <xf numFmtId="0" fontId="41" fillId="0" borderId="74" xfId="0" applyFont="1" applyBorder="1" applyAlignment="1" quotePrefix="1">
      <alignment horizontal="center" vertical="center" wrapText="1"/>
    </xf>
    <xf numFmtId="0" fontId="26" fillId="5" borderId="74" xfId="0" applyFont="1" applyFill="1" applyBorder="1" applyAlignment="1">
      <alignment horizontal="center" vertical="center" wrapText="1"/>
    </xf>
    <xf numFmtId="0" fontId="0" fillId="0" borderId="75" xfId="0" applyFont="1" applyBorder="1" applyAlignment="1">
      <alignment/>
    </xf>
    <xf numFmtId="167" fontId="0" fillId="0" borderId="56" xfId="0" applyNumberFormat="1" applyFont="1" applyBorder="1" applyAlignment="1">
      <alignment/>
    </xf>
    <xf numFmtId="167" fontId="0" fillId="0" borderId="70" xfId="0" applyNumberFormat="1" applyFont="1" applyBorder="1" applyAlignment="1">
      <alignment/>
    </xf>
    <xf numFmtId="6" fontId="26" fillId="0" borderId="7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8" xfId="0" applyFont="1" applyBorder="1" applyAlignment="1" quotePrefix="1">
      <alignment horizontal="left"/>
    </xf>
    <xf numFmtId="0" fontId="7" fillId="0" borderId="132" xfId="0" applyFont="1" applyBorder="1" applyAlignment="1">
      <alignment/>
    </xf>
    <xf numFmtId="0" fontId="52" fillId="7" borderId="133" xfId="0" applyFont="1" applyFill="1" applyBorder="1" applyAlignment="1" quotePrefix="1">
      <alignment horizontal="center" wrapText="1"/>
    </xf>
    <xf numFmtId="0" fontId="41" fillId="0" borderId="7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0" fillId="0" borderId="8" xfId="0" applyFont="1" applyBorder="1" applyAlignment="1">
      <alignment horizontal="center"/>
    </xf>
    <xf numFmtId="167" fontId="20" fillId="5" borderId="105" xfId="0" applyNumberFormat="1" applyFont="1" applyFill="1" applyBorder="1" applyAlignment="1" applyProtection="1" quotePrefix="1">
      <alignment horizontal="center"/>
      <protection/>
    </xf>
    <xf numFmtId="49" fontId="20" fillId="6" borderId="134" xfId="0" applyNumberFormat="1" applyFont="1" applyFill="1" applyBorder="1" applyAlignment="1" applyProtection="1" quotePrefix="1">
      <alignment horizontal="center"/>
      <protection/>
    </xf>
    <xf numFmtId="5" fontId="4" fillId="0" borderId="135" xfId="0" applyNumberFormat="1" applyFont="1" applyFill="1" applyBorder="1" applyAlignment="1" applyProtection="1">
      <alignment/>
      <protection/>
    </xf>
    <xf numFmtId="5" fontId="4" fillId="0" borderId="136" xfId="0" applyNumberFormat="1" applyFont="1" applyFill="1" applyBorder="1" applyAlignment="1" applyProtection="1">
      <alignment/>
      <protection/>
    </xf>
    <xf numFmtId="5" fontId="4" fillId="0" borderId="137" xfId="0" applyNumberFormat="1" applyFont="1" applyFill="1" applyBorder="1" applyAlignment="1" applyProtection="1">
      <alignment/>
      <protection/>
    </xf>
    <xf numFmtId="5" fontId="4" fillId="0" borderId="105" xfId="0" applyNumberFormat="1" applyFont="1" applyFill="1" applyBorder="1" applyAlignment="1" applyProtection="1">
      <alignment/>
      <protection/>
    </xf>
    <xf numFmtId="5" fontId="0" fillId="0" borderId="138" xfId="0" applyNumberFormat="1" applyFont="1" applyFill="1" applyBorder="1" applyAlignment="1" applyProtection="1">
      <alignment/>
      <protection/>
    </xf>
    <xf numFmtId="6" fontId="26" fillId="0" borderId="139" xfId="15" applyNumberFormat="1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37" fontId="23" fillId="0" borderId="0" xfId="15" applyNumberFormat="1" applyFont="1" applyBorder="1" applyAlignment="1">
      <alignment/>
    </xf>
    <xf numFmtId="6" fontId="23" fillId="0" borderId="0" xfId="0" applyNumberFormat="1" applyFont="1" applyBorder="1" applyAlignment="1">
      <alignment/>
    </xf>
    <xf numFmtId="6" fontId="23" fillId="0" borderId="0" xfId="0" applyNumberFormat="1" applyFont="1" applyBorder="1" applyAlignment="1" quotePrefix="1">
      <alignment horizontal="right"/>
    </xf>
    <xf numFmtId="6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26" fillId="5" borderId="140" xfId="0" applyFont="1" applyFill="1" applyBorder="1" applyAlignment="1" applyProtection="1">
      <alignment horizontal="centerContinuous" vertical="center" wrapText="1"/>
      <protection locked="0"/>
    </xf>
    <xf numFmtId="167" fontId="0" fillId="0" borderId="39" xfId="0" applyNumberFormat="1" applyFont="1" applyFill="1" applyBorder="1" applyAlignment="1">
      <alignment/>
    </xf>
    <xf numFmtId="167" fontId="0" fillId="0" borderId="38" xfId="0" applyNumberFormat="1" applyFont="1" applyFill="1" applyBorder="1" applyAlignment="1">
      <alignment/>
    </xf>
    <xf numFmtId="0" fontId="0" fillId="0" borderId="38" xfId="0" applyFont="1" applyBorder="1" applyAlignment="1">
      <alignment/>
    </xf>
    <xf numFmtId="166" fontId="20" fillId="6" borderId="141" xfId="15" applyNumberFormat="1" applyFont="1" applyFill="1" applyBorder="1" applyAlignment="1" quotePrefix="1">
      <alignment horizontal="center"/>
    </xf>
    <xf numFmtId="0" fontId="0" fillId="0" borderId="115" xfId="0" applyFont="1" applyBorder="1" applyAlignment="1">
      <alignment/>
    </xf>
    <xf numFmtId="166" fontId="20" fillId="0" borderId="0" xfId="15" applyNumberFormat="1" applyFont="1" applyAlignment="1">
      <alignment/>
    </xf>
    <xf numFmtId="0" fontId="20" fillId="5" borderId="142" xfId="0" applyFont="1" applyFill="1" applyBorder="1" applyAlignment="1" applyProtection="1">
      <alignment horizontal="center" wrapText="1"/>
      <protection locked="0"/>
    </xf>
    <xf numFmtId="0" fontId="20" fillId="5" borderId="143" xfId="0" applyFont="1" applyFill="1" applyBorder="1" applyAlignment="1" applyProtection="1" quotePrefix="1">
      <alignment horizontal="center" wrapText="1"/>
      <protection locked="0"/>
    </xf>
    <xf numFmtId="0" fontId="41" fillId="0" borderId="73" xfId="0" applyFont="1" applyBorder="1" applyAlignment="1" applyProtection="1" quotePrefix="1">
      <alignment horizontal="center" vertical="center" wrapText="1"/>
      <protection/>
    </xf>
    <xf numFmtId="0" fontId="41" fillId="0" borderId="74" xfId="0" applyFont="1" applyBorder="1" applyAlignment="1" applyProtection="1">
      <alignment horizontal="center" vertical="center" wrapText="1"/>
      <protection/>
    </xf>
    <xf numFmtId="0" fontId="26" fillId="13" borderId="66" xfId="0" applyFont="1" applyFill="1" applyBorder="1" applyAlignment="1" applyProtection="1" quotePrefix="1">
      <alignment horizontal="center" vertical="center" wrapText="1"/>
      <protection/>
    </xf>
    <xf numFmtId="0" fontId="20" fillId="0" borderId="0" xfId="0" applyFont="1" applyAlignment="1">
      <alignment horizontal="right"/>
    </xf>
    <xf numFmtId="0" fontId="16" fillId="0" borderId="0" xfId="0" applyFont="1" applyBorder="1" applyAlignment="1">
      <alignment horizontal="center"/>
    </xf>
    <xf numFmtId="0" fontId="22" fillId="0" borderId="144" xfId="0" applyFont="1" applyFill="1" applyBorder="1" applyAlignment="1" quotePrefix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2" fillId="0" borderId="145" xfId="0" applyFont="1" applyFill="1" applyBorder="1" applyAlignment="1">
      <alignment horizontal="left" vertical="center" wrapText="1"/>
    </xf>
    <xf numFmtId="0" fontId="22" fillId="0" borderId="14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/>
    </xf>
    <xf numFmtId="0" fontId="22" fillId="0" borderId="144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6" fillId="11" borderId="66" xfId="0" applyFont="1" applyFill="1" applyBorder="1" applyAlignment="1" applyProtection="1" quotePrefix="1">
      <alignment horizontal="center" vertical="center" wrapText="1"/>
      <protection/>
    </xf>
    <xf numFmtId="0" fontId="26" fillId="11" borderId="64" xfId="0" applyFont="1" applyFill="1" applyBorder="1" applyAlignment="1" applyProtection="1" quotePrefix="1">
      <alignment horizontal="center" vertical="center" wrapText="1"/>
      <protection/>
    </xf>
    <xf numFmtId="0" fontId="0" fillId="0" borderId="64" xfId="0" applyBorder="1" applyAlignment="1">
      <alignment/>
    </xf>
    <xf numFmtId="0" fontId="26" fillId="13" borderId="64" xfId="0" applyFont="1" applyFill="1" applyBorder="1" applyAlignment="1" applyProtection="1" quotePrefix="1">
      <alignment horizontal="center" vertical="center" wrapText="1"/>
      <protection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Alignment="1">
      <alignment horizontal="left"/>
    </xf>
    <xf numFmtId="0" fontId="26" fillId="5" borderId="75" xfId="0" applyFont="1" applyFill="1" applyBorder="1" applyAlignment="1" quotePrefix="1">
      <alignment horizontal="center" vertical="center" wrapText="1"/>
    </xf>
    <xf numFmtId="0" fontId="0" fillId="0" borderId="70" xfId="0" applyBorder="1" applyAlignment="1">
      <alignment horizontal="center" wrapText="1"/>
    </xf>
    <xf numFmtId="0" fontId="26" fillId="5" borderId="4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26" fillId="5" borderId="147" xfId="0" applyFont="1" applyFill="1" applyBorder="1" applyAlignment="1">
      <alignment horizontal="center" vertical="center" wrapText="1"/>
    </xf>
    <xf numFmtId="0" fontId="26" fillId="5" borderId="102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 quotePrefix="1">
      <alignment horizontal="center" vertical="center" wrapText="1"/>
    </xf>
    <xf numFmtId="0" fontId="26" fillId="5" borderId="7" xfId="0" applyFont="1" applyFill="1" applyBorder="1" applyAlignment="1" quotePrefix="1">
      <alignment horizontal="center" vertical="center" wrapText="1"/>
    </xf>
    <xf numFmtId="0" fontId="26" fillId="5" borderId="136" xfId="0" applyFont="1" applyFill="1" applyBorder="1" applyAlignment="1" quotePrefix="1">
      <alignment horizontal="center" vertical="center" wrapText="1"/>
    </xf>
    <xf numFmtId="0" fontId="26" fillId="5" borderId="105" xfId="0" applyFont="1" applyFill="1" applyBorder="1" applyAlignment="1" quotePrefix="1">
      <alignment horizontal="center" vertical="center" wrapText="1"/>
    </xf>
    <xf numFmtId="0" fontId="40" fillId="10" borderId="148" xfId="0" applyFont="1" applyFill="1" applyBorder="1" applyAlignment="1" applyProtection="1">
      <alignment horizontal="center" vertical="center" wrapText="1"/>
      <protection/>
    </xf>
    <xf numFmtId="0" fontId="0" fillId="0" borderId="149" xfId="0" applyBorder="1" applyAlignment="1">
      <alignment horizontal="center" vertical="center" wrapText="1"/>
    </xf>
    <xf numFmtId="0" fontId="26" fillId="5" borderId="110" xfId="0" applyFont="1" applyFill="1" applyBorder="1" applyAlignment="1" quotePrefix="1">
      <alignment horizontal="center" vertical="center" wrapText="1"/>
    </xf>
    <xf numFmtId="0" fontId="0" fillId="0" borderId="102" xfId="0" applyBorder="1" applyAlignment="1">
      <alignment horizontal="center" wrapText="1"/>
    </xf>
    <xf numFmtId="0" fontId="26" fillId="5" borderId="4" xfId="0" applyFont="1" applyFill="1" applyBorder="1" applyAlignment="1" applyProtection="1" quotePrefix="1">
      <alignment horizontal="center" vertical="center" wrapText="1"/>
      <protection locked="0"/>
    </xf>
    <xf numFmtId="0" fontId="40" fillId="10" borderId="99" xfId="0" applyFont="1" applyFill="1" applyBorder="1" applyAlignment="1" applyProtection="1">
      <alignment horizontal="center" vertical="center" wrapText="1"/>
      <protection/>
    </xf>
    <xf numFmtId="0" fontId="40" fillId="10" borderId="149" xfId="0" applyFont="1" applyFill="1" applyBorder="1" applyAlignment="1" applyProtection="1">
      <alignment horizontal="center" vertical="center" wrapText="1"/>
      <protection/>
    </xf>
    <xf numFmtId="0" fontId="0" fillId="0" borderId="99" xfId="0" applyBorder="1" applyAlignment="1">
      <alignment horizontal="center" wrapText="1"/>
    </xf>
    <xf numFmtId="0" fontId="0" fillId="0" borderId="149" xfId="0" applyBorder="1" applyAlignment="1">
      <alignment horizontal="center" wrapText="1"/>
    </xf>
    <xf numFmtId="0" fontId="40" fillId="10" borderId="150" xfId="0" applyFont="1" applyFill="1" applyBorder="1" applyAlignment="1" applyProtection="1" quotePrefix="1">
      <alignment horizontal="center" vertical="center" wrapText="1"/>
      <protection/>
    </xf>
    <xf numFmtId="0" fontId="40" fillId="10" borderId="80" xfId="0" applyFont="1" applyFill="1" applyBorder="1" applyAlignment="1" applyProtection="1" quotePrefix="1">
      <alignment horizontal="center" vertical="center" wrapText="1"/>
      <protection/>
    </xf>
    <xf numFmtId="0" fontId="40" fillId="10" borderId="151" xfId="0" applyFont="1" applyFill="1" applyBorder="1" applyAlignment="1" applyProtection="1" quotePrefix="1">
      <alignment horizontal="center" vertical="center" wrapText="1"/>
      <protection/>
    </xf>
    <xf numFmtId="0" fontId="40" fillId="10" borderId="148" xfId="0" applyFont="1" applyFill="1" applyBorder="1" applyAlignment="1" applyProtection="1" quotePrefix="1">
      <alignment horizontal="center" vertical="center" wrapText="1"/>
      <protection/>
    </xf>
    <xf numFmtId="0" fontId="40" fillId="10" borderId="99" xfId="0" applyFont="1" applyFill="1" applyBorder="1" applyAlignment="1" applyProtection="1" quotePrefix="1">
      <alignment horizontal="center" vertical="center" wrapText="1"/>
      <protection/>
    </xf>
    <xf numFmtId="0" fontId="40" fillId="10" borderId="149" xfId="0" applyFont="1" applyFill="1" applyBorder="1" applyAlignment="1" applyProtection="1" quotePrefix="1">
      <alignment horizontal="center" vertical="center" wrapText="1"/>
      <protection/>
    </xf>
    <xf numFmtId="0" fontId="26" fillId="5" borderId="4" xfId="0" applyFont="1" applyFill="1" applyBorder="1" applyAlignment="1" quotePrefix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6" fillId="5" borderId="72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6" fillId="0" borderId="0" xfId="0" applyFont="1" applyFill="1" applyAlignment="1" quotePrefix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7" borderId="73" xfId="0" applyFont="1" applyFill="1" applyBorder="1" applyAlignment="1">
      <alignment horizontal="center" vertical="center"/>
    </xf>
    <xf numFmtId="0" fontId="21" fillId="7" borderId="152" xfId="0" applyFont="1" applyFill="1" applyBorder="1" applyAlignment="1">
      <alignment horizontal="center" vertical="center"/>
    </xf>
    <xf numFmtId="0" fontId="21" fillId="7" borderId="74" xfId="0" applyFont="1" applyFill="1" applyBorder="1" applyAlignment="1">
      <alignment horizontal="center" vertical="center"/>
    </xf>
    <xf numFmtId="0" fontId="25" fillId="0" borderId="0" xfId="0" applyFont="1" applyBorder="1" applyAlignment="1" quotePrefix="1">
      <alignment horizontal="center" wrapText="1"/>
    </xf>
    <xf numFmtId="0" fontId="25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1" fillId="7" borderId="73" xfId="0" applyFont="1" applyFill="1" applyBorder="1" applyAlignment="1" quotePrefix="1">
      <alignment horizontal="center" vertical="center" wrapText="1"/>
    </xf>
    <xf numFmtId="0" fontId="21" fillId="7" borderId="152" xfId="0" applyFont="1" applyFill="1" applyBorder="1" applyAlignment="1">
      <alignment horizontal="center" vertical="center" wrapText="1"/>
    </xf>
    <xf numFmtId="0" fontId="21" fillId="7" borderId="74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 quotePrefix="1">
      <alignment horizontal="center" wrapText="1"/>
    </xf>
    <xf numFmtId="0" fontId="4" fillId="0" borderId="7" xfId="0" applyFont="1" applyBorder="1" applyAlignment="1">
      <alignment horizontal="center" wrapText="1"/>
    </xf>
    <xf numFmtId="0" fontId="20" fillId="5" borderId="4" xfId="0" applyFont="1" applyFill="1" applyBorder="1" applyAlignment="1" quotePrefix="1">
      <alignment horizontal="center" vertical="center" wrapText="1"/>
    </xf>
    <xf numFmtId="0" fontId="0" fillId="0" borderId="7" xfId="0" applyBorder="1" applyAlignment="1">
      <alignment horizontal="center" wrapText="1"/>
    </xf>
    <xf numFmtId="0" fontId="41" fillId="0" borderId="73" xfId="0" applyFont="1" applyBorder="1" applyAlignment="1">
      <alignment horizontal="center" vertical="center" wrapText="1"/>
    </xf>
    <xf numFmtId="0" fontId="41" fillId="0" borderId="74" xfId="0" applyFont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wrapText="1"/>
    </xf>
    <xf numFmtId="0" fontId="20" fillId="5" borderId="38" xfId="0" applyFont="1" applyFill="1" applyBorder="1" applyAlignment="1">
      <alignment horizontal="center" wrapText="1"/>
    </xf>
    <xf numFmtId="0" fontId="20" fillId="7" borderId="73" xfId="0" applyFont="1" applyFill="1" applyBorder="1" applyAlignment="1" quotePrefix="1">
      <alignment horizontal="center" vertical="center"/>
    </xf>
    <xf numFmtId="0" fontId="20" fillId="7" borderId="152" xfId="0" applyFont="1" applyFill="1" applyBorder="1" applyAlignment="1" quotePrefix="1">
      <alignment horizontal="center" vertical="center"/>
    </xf>
    <xf numFmtId="0" fontId="20" fillId="7" borderId="74" xfId="0" applyFont="1" applyFill="1" applyBorder="1" applyAlignment="1" quotePrefix="1">
      <alignment horizontal="center" vertical="center"/>
    </xf>
    <xf numFmtId="0" fontId="21" fillId="7" borderId="73" xfId="0" applyFont="1" applyFill="1" applyBorder="1" applyAlignment="1">
      <alignment horizontal="center" wrapText="1"/>
    </xf>
    <xf numFmtId="0" fontId="21" fillId="7" borderId="74" xfId="0" applyFont="1" applyFill="1" applyBorder="1" applyAlignment="1">
      <alignment horizontal="center" wrapText="1"/>
    </xf>
    <xf numFmtId="0" fontId="4" fillId="5" borderId="72" xfId="0" applyFont="1" applyFill="1" applyBorder="1" applyAlignment="1">
      <alignment horizontal="center"/>
    </xf>
    <xf numFmtId="0" fontId="4" fillId="5" borderId="97" xfId="0" applyFont="1" applyFill="1" applyBorder="1" applyAlignment="1">
      <alignment horizontal="center"/>
    </xf>
    <xf numFmtId="0" fontId="4" fillId="5" borderId="75" xfId="0" applyFont="1" applyFill="1" applyBorder="1" applyAlignment="1">
      <alignment horizontal="center"/>
    </xf>
    <xf numFmtId="0" fontId="4" fillId="5" borderId="3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70" xfId="0" applyFont="1" applyFill="1" applyBorder="1" applyAlignment="1">
      <alignment horizontal="center"/>
    </xf>
    <xf numFmtId="0" fontId="0" fillId="0" borderId="41" xfId="0" applyFill="1" applyBorder="1" applyAlignment="1" quotePrefix="1">
      <alignment horizontal="left" wrapText="1"/>
    </xf>
    <xf numFmtId="0" fontId="0" fillId="0" borderId="41" xfId="0" applyFill="1" applyBorder="1" applyAlignment="1">
      <alignment wrapText="1"/>
    </xf>
    <xf numFmtId="0" fontId="0" fillId="0" borderId="41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23</xdr:row>
      <xdr:rowOff>114300</xdr:rowOff>
    </xdr:from>
    <xdr:to>
      <xdr:col>2</xdr:col>
      <xdr:colOff>390525</xdr:colOff>
      <xdr:row>25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2333625" y="5867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EDFIN_AC\Budget%20Letter\2002-03\Circular%201071_Final%20Budget%20Letter\Back%20up%20Documentation\Special%20Ed%20Oct%2002%20Revision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EDFIN_AC\Budget%20Letter\2002-03\Circular%201071_Final%20Budget%20Letter\Back%20up%20Documentation\Tax%20and%20Other%20Revenue%20Data,%2008Jan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EDFIN_AC\Budget%20Letter\2002-03\Circular%201071_Final%20Budget%20Letter\Back%20up%20Documentation\voced%20units%20sent%20to%20Charlotte%20for%200203%20budget%20lett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EDFIN_AC\Budget%20Letter\2002-03\Prior%20Yr%20Adjusted%20Budget%20Letter\01-02%20Adjusted%20BUDGET%20LETT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EDFIN_AC\Budget%20Letter\2002-03\Circular%201071_Final%20Budget%20Letter\Back%20up%20Documentation\03MFP%20thru%20Feb%20from%20Anne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1820</v>
          </cell>
          <cell r="D6">
            <v>82</v>
          </cell>
        </row>
        <row r="7">
          <cell r="C7">
            <v>519</v>
          </cell>
          <cell r="D7">
            <v>113</v>
          </cell>
        </row>
        <row r="8">
          <cell r="C8">
            <v>2456</v>
          </cell>
          <cell r="D8">
            <v>347</v>
          </cell>
        </row>
        <row r="9">
          <cell r="C9">
            <v>619</v>
          </cell>
          <cell r="D9">
            <v>72</v>
          </cell>
        </row>
        <row r="10">
          <cell r="C10">
            <v>763</v>
          </cell>
          <cell r="D10">
            <v>24</v>
          </cell>
        </row>
        <row r="11">
          <cell r="C11">
            <v>769</v>
          </cell>
          <cell r="D11">
            <v>136</v>
          </cell>
        </row>
        <row r="12">
          <cell r="C12">
            <v>368</v>
          </cell>
          <cell r="D12">
            <v>20</v>
          </cell>
        </row>
        <row r="13">
          <cell r="C13">
            <v>2220</v>
          </cell>
          <cell r="D13">
            <v>515</v>
          </cell>
        </row>
        <row r="14">
          <cell r="C14">
            <v>6214</v>
          </cell>
          <cell r="D14">
            <v>1495</v>
          </cell>
        </row>
        <row r="15">
          <cell r="C15">
            <v>4757</v>
          </cell>
          <cell r="D15">
            <v>1021</v>
          </cell>
        </row>
        <row r="16">
          <cell r="C16">
            <v>243</v>
          </cell>
          <cell r="D16">
            <v>30</v>
          </cell>
        </row>
        <row r="17">
          <cell r="C17">
            <v>310</v>
          </cell>
          <cell r="D17">
            <v>95</v>
          </cell>
        </row>
        <row r="18">
          <cell r="C18">
            <v>199</v>
          </cell>
          <cell r="D18">
            <v>43</v>
          </cell>
        </row>
        <row r="19">
          <cell r="C19">
            <v>474</v>
          </cell>
          <cell r="D19">
            <v>156</v>
          </cell>
        </row>
        <row r="20">
          <cell r="C20">
            <v>429</v>
          </cell>
          <cell r="D20">
            <v>33</v>
          </cell>
        </row>
        <row r="21">
          <cell r="C21">
            <v>761</v>
          </cell>
          <cell r="D21">
            <v>73</v>
          </cell>
        </row>
        <row r="22">
          <cell r="C22">
            <v>5234</v>
          </cell>
          <cell r="D22">
            <v>1237</v>
          </cell>
        </row>
        <row r="23">
          <cell r="C23">
            <v>236</v>
          </cell>
          <cell r="D23">
            <v>1</v>
          </cell>
        </row>
        <row r="24">
          <cell r="C24">
            <v>392</v>
          </cell>
          <cell r="D24">
            <v>4</v>
          </cell>
        </row>
        <row r="25">
          <cell r="C25">
            <v>1083</v>
          </cell>
          <cell r="D25">
            <v>42</v>
          </cell>
        </row>
        <row r="26">
          <cell r="C26">
            <v>441</v>
          </cell>
          <cell r="D26">
            <v>103</v>
          </cell>
        </row>
        <row r="27">
          <cell r="C27">
            <v>543</v>
          </cell>
          <cell r="D27">
            <v>54</v>
          </cell>
        </row>
        <row r="28">
          <cell r="C28">
            <v>2433</v>
          </cell>
          <cell r="D28">
            <v>504</v>
          </cell>
        </row>
        <row r="29">
          <cell r="C29">
            <v>688</v>
          </cell>
          <cell r="D29">
            <v>68</v>
          </cell>
        </row>
        <row r="30">
          <cell r="C30">
            <v>283</v>
          </cell>
          <cell r="D30">
            <v>66</v>
          </cell>
        </row>
        <row r="31">
          <cell r="C31">
            <v>7760</v>
          </cell>
          <cell r="D31">
            <v>2802</v>
          </cell>
        </row>
        <row r="32">
          <cell r="C32">
            <v>984</v>
          </cell>
          <cell r="D32">
            <v>104</v>
          </cell>
        </row>
        <row r="33">
          <cell r="C33">
            <v>3479</v>
          </cell>
          <cell r="D33">
            <v>1374</v>
          </cell>
        </row>
        <row r="34">
          <cell r="C34">
            <v>2095</v>
          </cell>
          <cell r="D34">
            <v>240</v>
          </cell>
        </row>
        <row r="35">
          <cell r="C35">
            <v>236</v>
          </cell>
          <cell r="D35">
            <v>47</v>
          </cell>
        </row>
        <row r="36">
          <cell r="C36">
            <v>829</v>
          </cell>
          <cell r="D36">
            <v>153</v>
          </cell>
        </row>
        <row r="37">
          <cell r="C37">
            <v>2276</v>
          </cell>
          <cell r="D37">
            <v>339</v>
          </cell>
        </row>
        <row r="38">
          <cell r="C38">
            <v>284</v>
          </cell>
          <cell r="D38">
            <v>14</v>
          </cell>
        </row>
        <row r="39">
          <cell r="C39">
            <v>811</v>
          </cell>
          <cell r="D39">
            <v>54</v>
          </cell>
        </row>
        <row r="40">
          <cell r="C40">
            <v>847</v>
          </cell>
          <cell r="D40">
            <v>249</v>
          </cell>
        </row>
        <row r="41">
          <cell r="C41">
            <v>7553</v>
          </cell>
          <cell r="D41">
            <v>4573</v>
          </cell>
        </row>
        <row r="42">
          <cell r="C42">
            <v>2291</v>
          </cell>
          <cell r="D42">
            <v>1076</v>
          </cell>
        </row>
        <row r="43">
          <cell r="C43">
            <v>600</v>
          </cell>
          <cell r="D43">
            <v>144</v>
          </cell>
        </row>
        <row r="44">
          <cell r="C44">
            <v>663</v>
          </cell>
          <cell r="D44">
            <v>13</v>
          </cell>
        </row>
        <row r="45">
          <cell r="C45">
            <v>3280</v>
          </cell>
          <cell r="D45">
            <v>433</v>
          </cell>
        </row>
        <row r="46">
          <cell r="C46">
            <v>227</v>
          </cell>
          <cell r="D46">
            <v>2</v>
          </cell>
        </row>
        <row r="47">
          <cell r="C47">
            <v>509</v>
          </cell>
          <cell r="D47">
            <v>81</v>
          </cell>
        </row>
        <row r="48">
          <cell r="C48">
            <v>656</v>
          </cell>
          <cell r="D48">
            <v>80</v>
          </cell>
        </row>
        <row r="49">
          <cell r="C49">
            <v>1273</v>
          </cell>
          <cell r="D49">
            <v>317</v>
          </cell>
        </row>
        <row r="50">
          <cell r="C50">
            <v>1130</v>
          </cell>
          <cell r="D50">
            <v>793</v>
          </cell>
        </row>
        <row r="51">
          <cell r="C51">
            <v>251</v>
          </cell>
          <cell r="D51">
            <v>3</v>
          </cell>
        </row>
        <row r="52">
          <cell r="C52">
            <v>541</v>
          </cell>
          <cell r="D52">
            <v>71</v>
          </cell>
        </row>
        <row r="53">
          <cell r="C53">
            <v>1278</v>
          </cell>
          <cell r="D53">
            <v>97</v>
          </cell>
        </row>
        <row r="54">
          <cell r="C54">
            <v>2460</v>
          </cell>
          <cell r="D54">
            <v>253</v>
          </cell>
        </row>
        <row r="55">
          <cell r="C55">
            <v>1305</v>
          </cell>
          <cell r="D55">
            <v>81</v>
          </cell>
        </row>
        <row r="56">
          <cell r="C56">
            <v>1656</v>
          </cell>
          <cell r="D56">
            <v>207</v>
          </cell>
        </row>
        <row r="57">
          <cell r="C57">
            <v>5811</v>
          </cell>
          <cell r="D57">
            <v>2855</v>
          </cell>
        </row>
        <row r="58">
          <cell r="C58">
            <v>2611</v>
          </cell>
          <cell r="D58">
            <v>225</v>
          </cell>
        </row>
        <row r="59">
          <cell r="C59">
            <v>209</v>
          </cell>
          <cell r="D59">
            <v>53</v>
          </cell>
        </row>
        <row r="60">
          <cell r="C60">
            <v>3096</v>
          </cell>
          <cell r="D60">
            <v>720</v>
          </cell>
        </row>
        <row r="61">
          <cell r="C61">
            <v>459</v>
          </cell>
          <cell r="D61">
            <v>16</v>
          </cell>
        </row>
        <row r="62">
          <cell r="C62">
            <v>1455</v>
          </cell>
          <cell r="D62">
            <v>76</v>
          </cell>
        </row>
        <row r="63">
          <cell r="C63">
            <v>1309</v>
          </cell>
          <cell r="D63">
            <v>287</v>
          </cell>
        </row>
        <row r="64">
          <cell r="C64">
            <v>745</v>
          </cell>
          <cell r="D64">
            <v>239</v>
          </cell>
        </row>
        <row r="65">
          <cell r="C65">
            <v>1038</v>
          </cell>
          <cell r="D65">
            <v>123</v>
          </cell>
        </row>
        <row r="66">
          <cell r="C66">
            <v>456</v>
          </cell>
          <cell r="D66">
            <v>158</v>
          </cell>
        </row>
        <row r="67">
          <cell r="C67">
            <v>291</v>
          </cell>
          <cell r="D67">
            <v>27</v>
          </cell>
        </row>
        <row r="68">
          <cell r="C68">
            <v>363</v>
          </cell>
          <cell r="D68">
            <v>150</v>
          </cell>
        </row>
        <row r="69">
          <cell r="C69">
            <v>344</v>
          </cell>
          <cell r="D69">
            <v>80</v>
          </cell>
        </row>
        <row r="70">
          <cell r="C70">
            <v>1355</v>
          </cell>
          <cell r="D70">
            <v>586</v>
          </cell>
        </row>
        <row r="71">
          <cell r="C71">
            <v>660</v>
          </cell>
          <cell r="D71">
            <v>214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1 Property Assessments"/>
      <sheetName val="Ad Valorem Taxes"/>
      <sheetName val="Sales Taxes"/>
      <sheetName val="Other Revenue"/>
    </sheetNames>
    <sheetDataSet>
      <sheetData sheetId="0">
        <row r="6">
          <cell r="C6">
            <v>201788530</v>
          </cell>
          <cell r="D6">
            <v>53327550</v>
          </cell>
          <cell r="E6">
            <v>148460980</v>
          </cell>
        </row>
        <row r="7">
          <cell r="C7">
            <v>82749715</v>
          </cell>
          <cell r="D7">
            <v>20609940</v>
          </cell>
          <cell r="E7">
            <v>62139775</v>
          </cell>
        </row>
        <row r="8">
          <cell r="C8">
            <v>550728010</v>
          </cell>
          <cell r="D8">
            <v>111623560</v>
          </cell>
          <cell r="E8">
            <v>439104450</v>
          </cell>
        </row>
        <row r="9">
          <cell r="C9">
            <v>94314900</v>
          </cell>
          <cell r="D9">
            <v>24747360</v>
          </cell>
          <cell r="E9">
            <v>69567540</v>
          </cell>
        </row>
        <row r="10">
          <cell r="C10">
            <v>113827710</v>
          </cell>
          <cell r="D10">
            <v>46552290</v>
          </cell>
          <cell r="E10">
            <v>67275420</v>
          </cell>
        </row>
        <row r="11">
          <cell r="C11">
            <v>162035028</v>
          </cell>
          <cell r="D11">
            <v>36577441</v>
          </cell>
          <cell r="E11">
            <v>125457587</v>
          </cell>
        </row>
        <row r="12">
          <cell r="C12">
            <v>127229240</v>
          </cell>
          <cell r="D12">
            <v>11936810</v>
          </cell>
          <cell r="E12">
            <v>115292430</v>
          </cell>
        </row>
        <row r="13">
          <cell r="C13">
            <v>489789300</v>
          </cell>
          <cell r="D13">
            <v>120793260</v>
          </cell>
          <cell r="E13">
            <v>368996040</v>
          </cell>
        </row>
        <row r="14">
          <cell r="C14">
            <v>1148501080</v>
          </cell>
          <cell r="D14">
            <v>294524450</v>
          </cell>
          <cell r="E14">
            <v>853976630</v>
          </cell>
        </row>
        <row r="15">
          <cell r="C15">
            <v>1060298690</v>
          </cell>
          <cell r="D15">
            <v>229886750</v>
          </cell>
          <cell r="E15">
            <v>830411940</v>
          </cell>
        </row>
        <row r="16">
          <cell r="C16">
            <v>34810190</v>
          </cell>
          <cell r="D16">
            <v>10297350</v>
          </cell>
          <cell r="E16">
            <v>24512840</v>
          </cell>
        </row>
        <row r="17">
          <cell r="C17">
            <v>156833783</v>
          </cell>
          <cell r="D17">
            <v>10891476</v>
          </cell>
          <cell r="E17">
            <v>145942307</v>
          </cell>
        </row>
        <row r="18">
          <cell r="C18">
            <v>37990310</v>
          </cell>
          <cell r="D18">
            <v>11506910</v>
          </cell>
          <cell r="E18">
            <v>26483400</v>
          </cell>
        </row>
        <row r="19">
          <cell r="C19">
            <v>81777295</v>
          </cell>
          <cell r="D19">
            <v>16750960</v>
          </cell>
          <cell r="E19">
            <v>65026335</v>
          </cell>
        </row>
        <row r="20">
          <cell r="C20">
            <v>123818960</v>
          </cell>
          <cell r="D20">
            <v>23081400</v>
          </cell>
          <cell r="E20">
            <v>100737560</v>
          </cell>
        </row>
        <row r="21">
          <cell r="C21">
            <v>197339755</v>
          </cell>
          <cell r="D21">
            <v>29339407</v>
          </cell>
          <cell r="E21">
            <v>168000348</v>
          </cell>
        </row>
        <row r="22">
          <cell r="C22">
            <v>2437458220</v>
          </cell>
          <cell r="D22">
            <v>567154550</v>
          </cell>
          <cell r="E22">
            <v>1870303670</v>
          </cell>
        </row>
        <row r="23">
          <cell r="C23">
            <v>33790354</v>
          </cell>
          <cell r="D23">
            <v>5734754</v>
          </cell>
          <cell r="E23">
            <v>28055600</v>
          </cell>
        </row>
        <row r="24">
          <cell r="C24">
            <v>83506330</v>
          </cell>
          <cell r="D24">
            <v>25945360</v>
          </cell>
          <cell r="E24">
            <v>57560970</v>
          </cell>
        </row>
        <row r="25">
          <cell r="C25">
            <v>137508520</v>
          </cell>
          <cell r="D25">
            <v>35928830</v>
          </cell>
          <cell r="E25">
            <v>101579690</v>
          </cell>
        </row>
        <row r="26">
          <cell r="C26">
            <v>66883409</v>
          </cell>
          <cell r="D26">
            <v>23691477</v>
          </cell>
          <cell r="E26">
            <v>43191932</v>
          </cell>
        </row>
        <row r="27">
          <cell r="C27">
            <v>47041677</v>
          </cell>
          <cell r="D27">
            <v>19870726</v>
          </cell>
          <cell r="E27">
            <v>27170951</v>
          </cell>
        </row>
        <row r="28">
          <cell r="C28">
            <v>316470574</v>
          </cell>
          <cell r="D28">
            <v>85331311</v>
          </cell>
          <cell r="E28">
            <v>231139263</v>
          </cell>
        </row>
        <row r="29">
          <cell r="C29">
            <v>297988536</v>
          </cell>
          <cell r="D29">
            <v>36776410</v>
          </cell>
          <cell r="E29">
            <v>261212126</v>
          </cell>
        </row>
        <row r="30">
          <cell r="C30">
            <v>70021480</v>
          </cell>
          <cell r="D30">
            <v>15271810</v>
          </cell>
          <cell r="E30">
            <v>54749670</v>
          </cell>
        </row>
        <row r="31">
          <cell r="C31">
            <v>2677130626</v>
          </cell>
          <cell r="D31">
            <v>751619260</v>
          </cell>
          <cell r="E31">
            <v>1925511366</v>
          </cell>
        </row>
        <row r="32">
          <cell r="C32">
            <v>132061230</v>
          </cell>
          <cell r="D32">
            <v>32080900</v>
          </cell>
          <cell r="E32">
            <v>99980330</v>
          </cell>
        </row>
        <row r="33">
          <cell r="C33">
            <v>1016794854</v>
          </cell>
          <cell r="D33">
            <v>269516398</v>
          </cell>
          <cell r="E33">
            <v>747278456</v>
          </cell>
        </row>
        <row r="34">
          <cell r="C34">
            <v>455698270</v>
          </cell>
          <cell r="D34">
            <v>127192300</v>
          </cell>
          <cell r="E34">
            <v>328505970</v>
          </cell>
        </row>
        <row r="35">
          <cell r="C35">
            <v>53898597</v>
          </cell>
          <cell r="D35">
            <v>14644432</v>
          </cell>
          <cell r="E35">
            <v>39254165</v>
          </cell>
        </row>
        <row r="36">
          <cell r="C36">
            <v>196300710</v>
          </cell>
          <cell r="D36">
            <v>42854470</v>
          </cell>
          <cell r="E36">
            <v>153446240</v>
          </cell>
        </row>
        <row r="37">
          <cell r="C37">
            <v>288092950</v>
          </cell>
          <cell r="D37">
            <v>141189180</v>
          </cell>
          <cell r="E37">
            <v>146903770</v>
          </cell>
        </row>
        <row r="38">
          <cell r="C38">
            <v>54896513</v>
          </cell>
          <cell r="D38">
            <v>9689507</v>
          </cell>
          <cell r="E38">
            <v>45207006</v>
          </cell>
        </row>
        <row r="39">
          <cell r="C39">
            <v>133530270</v>
          </cell>
          <cell r="D39">
            <v>29823070</v>
          </cell>
          <cell r="E39">
            <v>103707200</v>
          </cell>
        </row>
        <row r="40">
          <cell r="C40">
            <v>149864910</v>
          </cell>
          <cell r="D40">
            <v>38623130</v>
          </cell>
          <cell r="E40">
            <v>111241780</v>
          </cell>
        </row>
        <row r="41">
          <cell r="C41">
            <v>2251699142</v>
          </cell>
          <cell r="D41">
            <v>475530514</v>
          </cell>
          <cell r="E41">
            <v>1776168628</v>
          </cell>
        </row>
        <row r="42">
          <cell r="C42">
            <v>410450918</v>
          </cell>
          <cell r="D42">
            <v>118684194</v>
          </cell>
          <cell r="E42">
            <v>291766724</v>
          </cell>
        </row>
        <row r="43">
          <cell r="C43">
            <v>522895865</v>
          </cell>
          <cell r="D43">
            <v>29910265</v>
          </cell>
          <cell r="E43">
            <v>492985600</v>
          </cell>
        </row>
        <row r="44">
          <cell r="C44">
            <v>306560897</v>
          </cell>
          <cell r="D44">
            <v>31325066</v>
          </cell>
          <cell r="E44">
            <v>275235831</v>
          </cell>
        </row>
        <row r="45">
          <cell r="C45">
            <v>554835459</v>
          </cell>
          <cell r="D45">
            <v>142058878</v>
          </cell>
          <cell r="E45">
            <v>412776581</v>
          </cell>
        </row>
        <row r="46">
          <cell r="C46">
            <v>34859970</v>
          </cell>
          <cell r="D46">
            <v>8824460</v>
          </cell>
          <cell r="E46">
            <v>26035510</v>
          </cell>
        </row>
        <row r="47">
          <cell r="C47">
            <v>74799550</v>
          </cell>
          <cell r="D47">
            <v>21635900</v>
          </cell>
          <cell r="E47">
            <v>53163650</v>
          </cell>
        </row>
        <row r="48">
          <cell r="C48">
            <v>93178850</v>
          </cell>
          <cell r="D48">
            <v>25278600</v>
          </cell>
          <cell r="E48">
            <v>67900250</v>
          </cell>
        </row>
        <row r="49">
          <cell r="C49">
            <v>321169805</v>
          </cell>
          <cell r="D49">
            <v>110426007</v>
          </cell>
          <cell r="E49">
            <v>210743798</v>
          </cell>
        </row>
        <row r="50">
          <cell r="C50">
            <v>730890535</v>
          </cell>
          <cell r="D50">
            <v>77712722</v>
          </cell>
          <cell r="E50">
            <v>653177813</v>
          </cell>
        </row>
        <row r="51">
          <cell r="C51">
            <v>43213040</v>
          </cell>
          <cell r="D51">
            <v>12756360</v>
          </cell>
          <cell r="E51">
            <v>30456680</v>
          </cell>
        </row>
        <row r="52">
          <cell r="C52">
            <v>247464754</v>
          </cell>
          <cell r="D52">
            <v>29206176</v>
          </cell>
          <cell r="E52">
            <v>218258578</v>
          </cell>
        </row>
        <row r="53">
          <cell r="C53">
            <v>236779300</v>
          </cell>
          <cell r="D53">
            <v>64884024</v>
          </cell>
          <cell r="E53">
            <v>171895276</v>
          </cell>
        </row>
        <row r="54">
          <cell r="C54">
            <v>361043060</v>
          </cell>
          <cell r="D54">
            <v>89435000</v>
          </cell>
          <cell r="E54">
            <v>271608060</v>
          </cell>
        </row>
        <row r="55">
          <cell r="C55">
            <v>176400824</v>
          </cell>
          <cell r="D55">
            <v>56558831</v>
          </cell>
          <cell r="E55">
            <v>119841993</v>
          </cell>
        </row>
        <row r="56">
          <cell r="C56">
            <v>315111933</v>
          </cell>
          <cell r="D56">
            <v>57168941</v>
          </cell>
          <cell r="E56">
            <v>257942992</v>
          </cell>
        </row>
        <row r="57">
          <cell r="C57">
            <v>925570447</v>
          </cell>
          <cell r="D57">
            <v>356568288</v>
          </cell>
          <cell r="E57">
            <v>569002159</v>
          </cell>
        </row>
        <row r="58">
          <cell r="C58">
            <v>361840385</v>
          </cell>
          <cell r="D58">
            <v>130998306</v>
          </cell>
          <cell r="E58">
            <v>230842079</v>
          </cell>
        </row>
        <row r="59">
          <cell r="C59">
            <v>46102190</v>
          </cell>
          <cell r="D59">
            <v>6280976</v>
          </cell>
          <cell r="E59">
            <v>39821214</v>
          </cell>
        </row>
        <row r="60">
          <cell r="C60">
            <v>518268420</v>
          </cell>
          <cell r="D60">
            <v>135668170</v>
          </cell>
          <cell r="E60">
            <v>382600250</v>
          </cell>
        </row>
        <row r="61">
          <cell r="C61">
            <v>98272580</v>
          </cell>
          <cell r="D61">
            <v>25621360</v>
          </cell>
          <cell r="E61">
            <v>72651220</v>
          </cell>
        </row>
        <row r="62">
          <cell r="C62">
            <v>253670940</v>
          </cell>
          <cell r="D62">
            <v>62849940</v>
          </cell>
          <cell r="E62">
            <v>190821000</v>
          </cell>
        </row>
        <row r="63">
          <cell r="C63">
            <v>116157030</v>
          </cell>
          <cell r="D63">
            <v>33175350</v>
          </cell>
          <cell r="E63">
            <v>82981680</v>
          </cell>
        </row>
        <row r="64">
          <cell r="C64">
            <v>78175820</v>
          </cell>
          <cell r="D64">
            <v>29864980</v>
          </cell>
          <cell r="E64">
            <v>48310840</v>
          </cell>
        </row>
        <row r="65">
          <cell r="C65">
            <v>163519055</v>
          </cell>
          <cell r="D65">
            <v>42738220</v>
          </cell>
          <cell r="E65">
            <v>120780835</v>
          </cell>
        </row>
        <row r="66">
          <cell r="C66">
            <v>210657779</v>
          </cell>
          <cell r="D66">
            <v>29736690</v>
          </cell>
          <cell r="E66">
            <v>180921089</v>
          </cell>
        </row>
        <row r="67">
          <cell r="C67">
            <v>49150022</v>
          </cell>
          <cell r="D67">
            <v>13722460</v>
          </cell>
          <cell r="E67">
            <v>35427562</v>
          </cell>
        </row>
        <row r="68">
          <cell r="C68">
            <v>299014734</v>
          </cell>
          <cell r="D68">
            <v>12147489</v>
          </cell>
          <cell r="E68">
            <v>286867245</v>
          </cell>
        </row>
        <row r="69">
          <cell r="C69">
            <v>59859242</v>
          </cell>
          <cell r="D69">
            <v>14276630</v>
          </cell>
          <cell r="E69">
            <v>45582612</v>
          </cell>
        </row>
        <row r="70">
          <cell r="C70">
            <v>322587684</v>
          </cell>
          <cell r="D70">
            <v>43456757</v>
          </cell>
          <cell r="E70">
            <v>279130927</v>
          </cell>
        </row>
        <row r="71">
          <cell r="C71">
            <v>73491140</v>
          </cell>
          <cell r="D71">
            <v>19034600</v>
          </cell>
          <cell r="E71">
            <v>54456540</v>
          </cell>
        </row>
      </sheetData>
      <sheetData sheetId="1">
        <row r="6">
          <cell r="C6">
            <v>5.14</v>
          </cell>
          <cell r="D6">
            <v>748044</v>
          </cell>
          <cell r="E6">
            <v>20.03</v>
          </cell>
          <cell r="F6">
            <v>2914318</v>
          </cell>
          <cell r="G6">
            <v>0</v>
          </cell>
          <cell r="H6">
            <v>13.45</v>
          </cell>
          <cell r="I6">
            <v>1</v>
          </cell>
          <cell r="J6">
            <v>141785</v>
          </cell>
          <cell r="L6">
            <v>0</v>
          </cell>
          <cell r="M6">
            <v>0</v>
          </cell>
          <cell r="N6">
            <v>0</v>
          </cell>
          <cell r="O6">
            <v>32</v>
          </cell>
          <cell r="P6">
            <v>5</v>
          </cell>
          <cell r="Q6">
            <v>1187855</v>
          </cell>
        </row>
        <row r="7">
          <cell r="C7">
            <v>4.26</v>
          </cell>
          <cell r="D7">
            <v>250147</v>
          </cell>
          <cell r="E7">
            <v>5.13</v>
          </cell>
          <cell r="F7">
            <v>301233</v>
          </cell>
          <cell r="G7">
            <v>12.37</v>
          </cell>
          <cell r="H7">
            <v>68.22</v>
          </cell>
          <cell r="I7">
            <v>6</v>
          </cell>
          <cell r="J7">
            <v>1137753</v>
          </cell>
          <cell r="L7">
            <v>0</v>
          </cell>
          <cell r="M7">
            <v>0</v>
          </cell>
          <cell r="N7">
            <v>9.2</v>
          </cell>
          <cell r="O7">
            <v>34</v>
          </cell>
          <cell r="P7">
            <v>6</v>
          </cell>
          <cell r="Q7">
            <v>1313281</v>
          </cell>
        </row>
        <row r="8">
          <cell r="C8">
            <v>3.61</v>
          </cell>
          <cell r="D8">
            <v>1498885</v>
          </cell>
          <cell r="E8">
            <v>34.15</v>
          </cell>
          <cell r="F8">
            <v>14178773</v>
          </cell>
          <cell r="G8">
            <v>2.43</v>
          </cell>
          <cell r="H8">
            <v>20.43</v>
          </cell>
          <cell r="I8">
            <v>0</v>
          </cell>
          <cell r="J8">
            <v>0</v>
          </cell>
          <cell r="L8">
            <v>15.08</v>
          </cell>
          <cell r="M8">
            <v>6261429</v>
          </cell>
          <cell r="N8">
            <v>15.08</v>
          </cell>
          <cell r="O8">
            <v>15.08</v>
          </cell>
          <cell r="P8">
            <v>0</v>
          </cell>
          <cell r="Q8">
            <v>0</v>
          </cell>
        </row>
        <row r="9">
          <cell r="C9">
            <v>5.45</v>
          </cell>
          <cell r="D9">
            <v>360986</v>
          </cell>
          <cell r="E9">
            <v>33.63</v>
          </cell>
          <cell r="F9">
            <v>2227521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4</v>
          </cell>
          <cell r="M9">
            <v>264946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3.32</v>
          </cell>
          <cell r="D10">
            <v>227269</v>
          </cell>
          <cell r="E10">
            <v>9.6</v>
          </cell>
          <cell r="F10">
            <v>657010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4</v>
          </cell>
          <cell r="O10">
            <v>16</v>
          </cell>
          <cell r="P10">
            <v>7</v>
          </cell>
          <cell r="Q10">
            <v>542661</v>
          </cell>
        </row>
        <row r="11">
          <cell r="C11">
            <v>4.3</v>
          </cell>
          <cell r="D11">
            <v>502074</v>
          </cell>
          <cell r="E11">
            <v>27.05</v>
          </cell>
          <cell r="F11">
            <v>3158397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17.8</v>
          </cell>
          <cell r="M11">
            <v>2078350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6.23</v>
          </cell>
          <cell r="D12">
            <v>668326</v>
          </cell>
          <cell r="E12">
            <v>33.45</v>
          </cell>
          <cell r="F12">
            <v>2921035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4</v>
          </cell>
          <cell r="O12">
            <v>59</v>
          </cell>
          <cell r="P12">
            <v>7</v>
          </cell>
          <cell r="Q12">
            <v>843407</v>
          </cell>
        </row>
        <row r="13">
          <cell r="C13">
            <v>4.22</v>
          </cell>
          <cell r="D13">
            <v>1459720</v>
          </cell>
          <cell r="E13">
            <v>45.72</v>
          </cell>
          <cell r="F13">
            <v>15787364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N13">
            <v>4.7</v>
          </cell>
          <cell r="O13">
            <v>4.7</v>
          </cell>
          <cell r="P13">
            <v>1</v>
          </cell>
          <cell r="Q13">
            <v>1638687</v>
          </cell>
        </row>
        <row r="14">
          <cell r="C14">
            <v>9.25</v>
          </cell>
          <cell r="D14">
            <v>7441560</v>
          </cell>
          <cell r="E14">
            <v>67.08</v>
          </cell>
          <cell r="F14">
            <v>53966216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9.7</v>
          </cell>
          <cell r="M14">
            <v>7477616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5.82</v>
          </cell>
          <cell r="D15">
            <v>4784993</v>
          </cell>
          <cell r="E15">
            <v>13.74</v>
          </cell>
          <cell r="F15">
            <v>11296838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11.5</v>
          </cell>
          <cell r="O15">
            <v>55.5</v>
          </cell>
          <cell r="P15">
            <v>10</v>
          </cell>
          <cell r="Q15">
            <v>14175754</v>
          </cell>
        </row>
        <row r="16">
          <cell r="C16">
            <v>5.12</v>
          </cell>
          <cell r="D16">
            <v>124683</v>
          </cell>
          <cell r="E16">
            <v>31.34</v>
          </cell>
          <cell r="F16">
            <v>765912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4.64</v>
          </cell>
          <cell r="D17">
            <v>664868</v>
          </cell>
          <cell r="E17">
            <v>46.08</v>
          </cell>
          <cell r="F17">
            <v>6602830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5</v>
          </cell>
          <cell r="O17">
            <v>20</v>
          </cell>
          <cell r="P17">
            <v>2</v>
          </cell>
          <cell r="Q17">
            <v>729058</v>
          </cell>
        </row>
        <row r="18">
          <cell r="C18">
            <v>4.44</v>
          </cell>
          <cell r="D18">
            <v>117931</v>
          </cell>
          <cell r="E18">
            <v>13.21</v>
          </cell>
          <cell r="F18">
            <v>350878</v>
          </cell>
          <cell r="G18">
            <v>4.01</v>
          </cell>
          <cell r="H18">
            <v>5.29</v>
          </cell>
          <cell r="I18">
            <v>4</v>
          </cell>
          <cell r="J18">
            <v>113484</v>
          </cell>
          <cell r="L18">
            <v>0</v>
          </cell>
          <cell r="M18">
            <v>0</v>
          </cell>
          <cell r="N18">
            <v>3.68</v>
          </cell>
          <cell r="O18">
            <v>40</v>
          </cell>
          <cell r="P18">
            <v>4</v>
          </cell>
          <cell r="Q18">
            <v>479670</v>
          </cell>
        </row>
        <row r="19">
          <cell r="C19">
            <v>6.29</v>
          </cell>
          <cell r="D19">
            <v>407293</v>
          </cell>
          <cell r="E19">
            <v>12.22</v>
          </cell>
          <cell r="F19">
            <v>791274</v>
          </cell>
          <cell r="G19">
            <v>4.06</v>
          </cell>
          <cell r="H19">
            <v>11.87</v>
          </cell>
          <cell r="I19">
            <v>5</v>
          </cell>
          <cell r="J19">
            <v>447674</v>
          </cell>
          <cell r="L19">
            <v>0</v>
          </cell>
          <cell r="M19">
            <v>0</v>
          </cell>
          <cell r="N19">
            <v>4.08</v>
          </cell>
          <cell r="O19">
            <v>31.5</v>
          </cell>
          <cell r="P19">
            <v>2</v>
          </cell>
          <cell r="Q19">
            <v>724953</v>
          </cell>
        </row>
        <row r="20">
          <cell r="C20">
            <v>3.08</v>
          </cell>
          <cell r="D20">
            <v>301630</v>
          </cell>
          <cell r="E20">
            <v>37.43</v>
          </cell>
          <cell r="F20">
            <v>3671007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4.49</v>
          </cell>
          <cell r="D21">
            <v>738819</v>
          </cell>
          <cell r="E21">
            <v>43.07</v>
          </cell>
          <cell r="F21">
            <v>7087010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7.5</v>
          </cell>
          <cell r="O21">
            <v>36</v>
          </cell>
          <cell r="P21">
            <v>5</v>
          </cell>
          <cell r="Q21">
            <v>1784924</v>
          </cell>
        </row>
        <row r="22">
          <cell r="C22">
            <v>5.25</v>
          </cell>
          <cell r="D22">
            <v>9624080</v>
          </cell>
          <cell r="E22">
            <v>38.2</v>
          </cell>
          <cell r="F22">
            <v>70026643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6.06</v>
          </cell>
          <cell r="D23">
            <v>162512</v>
          </cell>
          <cell r="E23">
            <v>6.29</v>
          </cell>
          <cell r="F23">
            <v>168680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3.34</v>
          </cell>
          <cell r="D24">
            <v>170124</v>
          </cell>
          <cell r="E24">
            <v>15.51</v>
          </cell>
          <cell r="F24">
            <v>789923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17.61</v>
          </cell>
          <cell r="M24">
            <v>911909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4.56</v>
          </cell>
          <cell r="D25">
            <v>460726</v>
          </cell>
          <cell r="E25">
            <v>10.22</v>
          </cell>
          <cell r="F25">
            <v>1032590</v>
          </cell>
          <cell r="G25">
            <v>2.08</v>
          </cell>
          <cell r="H25">
            <v>12.29</v>
          </cell>
          <cell r="I25">
            <v>3</v>
          </cell>
          <cell r="J25">
            <v>1419327</v>
          </cell>
          <cell r="L25">
            <v>0</v>
          </cell>
          <cell r="M25">
            <v>0</v>
          </cell>
          <cell r="N25">
            <v>7</v>
          </cell>
          <cell r="O25">
            <v>36.5</v>
          </cell>
          <cell r="P25">
            <v>3</v>
          </cell>
          <cell r="Q25">
            <v>692351</v>
          </cell>
        </row>
        <row r="26">
          <cell r="C26">
            <v>4.31</v>
          </cell>
          <cell r="D26">
            <v>186500</v>
          </cell>
          <cell r="E26">
            <v>9.49</v>
          </cell>
          <cell r="F26">
            <v>408478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5.93</v>
          </cell>
          <cell r="D27">
            <v>160111</v>
          </cell>
          <cell r="E27">
            <v>24.12</v>
          </cell>
          <cell r="F27">
            <v>651279</v>
          </cell>
          <cell r="G27">
            <v>2.66</v>
          </cell>
          <cell r="H27">
            <v>16.12</v>
          </cell>
          <cell r="I27">
            <v>7</v>
          </cell>
          <cell r="J27">
            <v>234873</v>
          </cell>
          <cell r="L27">
            <v>0</v>
          </cell>
          <cell r="M27">
            <v>0</v>
          </cell>
          <cell r="N27">
            <v>16</v>
          </cell>
          <cell r="O27">
            <v>32</v>
          </cell>
          <cell r="P27">
            <v>3</v>
          </cell>
          <cell r="Q27">
            <v>426030</v>
          </cell>
        </row>
        <row r="28">
          <cell r="C28">
            <v>5.28</v>
          </cell>
          <cell r="D28">
            <v>1241500</v>
          </cell>
          <cell r="E28">
            <v>7.36</v>
          </cell>
          <cell r="F28">
            <v>1730777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23.84</v>
          </cell>
          <cell r="M28">
            <v>5596223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>
            <v>3.93</v>
          </cell>
          <cell r="D29">
            <v>1011387</v>
          </cell>
          <cell r="E29">
            <v>24.34</v>
          </cell>
          <cell r="F29">
            <v>6263673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12</v>
          </cell>
          <cell r="M29">
            <v>3088106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>
            <v>4.85</v>
          </cell>
          <cell r="D30">
            <v>300608</v>
          </cell>
          <cell r="E30">
            <v>20.45</v>
          </cell>
          <cell r="F30">
            <v>1050201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344435</v>
          </cell>
          <cell r="N30">
            <v>5</v>
          </cell>
          <cell r="O30">
            <v>21</v>
          </cell>
          <cell r="P30">
            <v>4</v>
          </cell>
          <cell r="Q30">
            <v>0</v>
          </cell>
        </row>
        <row r="31">
          <cell r="C31">
            <v>2.6</v>
          </cell>
          <cell r="D31">
            <v>4881880</v>
          </cell>
          <cell r="E31">
            <v>9.84</v>
          </cell>
          <cell r="F31">
            <v>18481426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>
            <v>6.48</v>
          </cell>
          <cell r="D32">
            <v>664794</v>
          </cell>
          <cell r="E32">
            <v>10.77</v>
          </cell>
          <cell r="F32">
            <v>1104751</v>
          </cell>
          <cell r="G32">
            <v>4.02</v>
          </cell>
          <cell r="H32">
            <v>21.45</v>
          </cell>
          <cell r="I32">
            <v>7</v>
          </cell>
          <cell r="J32">
            <v>1231825</v>
          </cell>
          <cell r="L32">
            <v>0</v>
          </cell>
          <cell r="M32">
            <v>0</v>
          </cell>
          <cell r="N32">
            <v>18</v>
          </cell>
          <cell r="O32">
            <v>30</v>
          </cell>
          <cell r="P32">
            <v>5</v>
          </cell>
          <cell r="Q32">
            <v>1402253</v>
          </cell>
        </row>
        <row r="33">
          <cell r="C33">
            <v>4.59</v>
          </cell>
          <cell r="D33">
            <v>3299712</v>
          </cell>
          <cell r="E33">
            <v>28.97</v>
          </cell>
          <cell r="F33">
            <v>20820980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0.8</v>
          </cell>
          <cell r="M33">
            <v>589363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C34">
            <v>3.93</v>
          </cell>
          <cell r="D34">
            <v>1250284</v>
          </cell>
          <cell r="E34">
            <v>22.47</v>
          </cell>
          <cell r="F34">
            <v>7148410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17.2</v>
          </cell>
          <cell r="M34">
            <v>5471982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>
            <v>5.54</v>
          </cell>
          <cell r="D35">
            <v>206145</v>
          </cell>
          <cell r="E35">
            <v>48.49</v>
          </cell>
          <cell r="F35">
            <v>1804319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>
            <v>4.99</v>
          </cell>
          <cell r="D36">
            <v>760547</v>
          </cell>
          <cell r="E36">
            <v>32.37</v>
          </cell>
          <cell r="F36">
            <v>4939418</v>
          </cell>
          <cell r="G36">
            <v>2.75</v>
          </cell>
          <cell r="H36">
            <v>3.33</v>
          </cell>
          <cell r="I36">
            <v>3</v>
          </cell>
          <cell r="J36">
            <v>429592</v>
          </cell>
          <cell r="L36">
            <v>0</v>
          </cell>
          <cell r="M36">
            <v>0</v>
          </cell>
          <cell r="N36">
            <v>15</v>
          </cell>
          <cell r="O36">
            <v>25</v>
          </cell>
          <cell r="P36">
            <v>3</v>
          </cell>
          <cell r="Q36">
            <v>2113652</v>
          </cell>
        </row>
        <row r="37">
          <cell r="C37">
            <v>3.29</v>
          </cell>
          <cell r="D37">
            <v>450915</v>
          </cell>
          <cell r="E37">
            <v>19.18</v>
          </cell>
          <cell r="F37">
            <v>2628794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7.75</v>
          </cell>
          <cell r="O37">
            <v>48.15</v>
          </cell>
          <cell r="P37">
            <v>10</v>
          </cell>
          <cell r="Q37">
            <v>2958768</v>
          </cell>
        </row>
        <row r="38">
          <cell r="C38">
            <v>4.76</v>
          </cell>
          <cell r="D38">
            <v>213986</v>
          </cell>
          <cell r="E38">
            <v>4.76</v>
          </cell>
          <cell r="F38">
            <v>213986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>
            <v>5.57</v>
          </cell>
          <cell r="D39">
            <v>609892</v>
          </cell>
          <cell r="E39">
            <v>23.29</v>
          </cell>
          <cell r="F39">
            <v>2595415</v>
          </cell>
          <cell r="G39">
            <v>5</v>
          </cell>
          <cell r="H39">
            <v>5</v>
          </cell>
          <cell r="I39">
            <v>1</v>
          </cell>
          <cell r="J39">
            <v>34566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>
            <v>4.65</v>
          </cell>
          <cell r="D40">
            <v>514871</v>
          </cell>
          <cell r="E40">
            <v>7</v>
          </cell>
          <cell r="F40">
            <v>775073</v>
          </cell>
          <cell r="G40">
            <v>6.98</v>
          </cell>
          <cell r="H40">
            <v>7</v>
          </cell>
          <cell r="I40">
            <v>5</v>
          </cell>
          <cell r="J40">
            <v>770761</v>
          </cell>
          <cell r="L40">
            <v>0</v>
          </cell>
          <cell r="M40">
            <v>0</v>
          </cell>
          <cell r="N40">
            <v>23</v>
          </cell>
          <cell r="O40">
            <v>48</v>
          </cell>
          <cell r="P40">
            <v>3</v>
          </cell>
          <cell r="Q40">
            <v>2835260</v>
          </cell>
        </row>
        <row r="41">
          <cell r="C41">
            <v>27.65</v>
          </cell>
          <cell r="D41">
            <v>45177685</v>
          </cell>
          <cell r="E41">
            <v>14.26</v>
          </cell>
          <cell r="F41">
            <v>26530398</v>
          </cell>
          <cell r="G41">
            <v>0</v>
          </cell>
          <cell r="H41">
            <v>0</v>
          </cell>
          <cell r="I41">
            <v>7</v>
          </cell>
          <cell r="J41">
            <v>0</v>
          </cell>
          <cell r="L41">
            <v>10.79</v>
          </cell>
          <cell r="M41">
            <v>18461709</v>
          </cell>
          <cell r="N41">
            <v>0</v>
          </cell>
          <cell r="O41">
            <v>0</v>
          </cell>
          <cell r="P41">
            <v>7</v>
          </cell>
          <cell r="Q41">
            <v>0</v>
          </cell>
        </row>
        <row r="42">
          <cell r="C42">
            <v>5.17</v>
          </cell>
          <cell r="D42">
            <v>1521499</v>
          </cell>
          <cell r="E42">
            <v>24.09</v>
          </cell>
          <cell r="F42">
            <v>6979080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18.5</v>
          </cell>
          <cell r="O42">
            <v>32.6</v>
          </cell>
          <cell r="P42">
            <v>2</v>
          </cell>
          <cell r="Q42">
            <v>6773492</v>
          </cell>
        </row>
        <row r="43">
          <cell r="C43">
            <v>6.03</v>
          </cell>
          <cell r="D43">
            <v>2699923</v>
          </cell>
          <cell r="E43">
            <v>16.97</v>
          </cell>
          <cell r="F43">
            <v>7819422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1.7</v>
          </cell>
          <cell r="M43">
            <v>761644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>
            <v>4.54</v>
          </cell>
          <cell r="D44">
            <v>913570</v>
          </cell>
          <cell r="E44">
            <v>11.96</v>
          </cell>
          <cell r="F44">
            <v>2406674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2.56</v>
          </cell>
          <cell r="O44">
            <v>12.28</v>
          </cell>
          <cell r="P44">
            <v>2</v>
          </cell>
          <cell r="Q44">
            <v>636951</v>
          </cell>
        </row>
        <row r="45">
          <cell r="C45">
            <v>4.77</v>
          </cell>
          <cell r="D45">
            <v>1789749</v>
          </cell>
          <cell r="E45">
            <v>20.93</v>
          </cell>
          <cell r="F45">
            <v>8549387</v>
          </cell>
          <cell r="G45">
            <v>3.04</v>
          </cell>
          <cell r="H45">
            <v>24.15</v>
          </cell>
          <cell r="I45">
            <v>13</v>
          </cell>
          <cell r="J45">
            <v>3761883</v>
          </cell>
          <cell r="L45">
            <v>0</v>
          </cell>
          <cell r="M45">
            <v>0</v>
          </cell>
          <cell r="N45">
            <v>5</v>
          </cell>
          <cell r="O45">
            <v>86</v>
          </cell>
          <cell r="P45">
            <v>13</v>
          </cell>
          <cell r="Q45">
            <v>10700246</v>
          </cell>
        </row>
        <row r="46">
          <cell r="C46">
            <v>4.58</v>
          </cell>
          <cell r="D46">
            <v>115686</v>
          </cell>
          <cell r="E46">
            <v>36.62</v>
          </cell>
          <cell r="F46">
            <v>918718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42</v>
          </cell>
          <cell r="M46">
            <v>1054431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>
            <v>6.42</v>
          </cell>
          <cell r="D47">
            <v>337592</v>
          </cell>
          <cell r="E47">
            <v>6.87</v>
          </cell>
          <cell r="F47">
            <v>361051</v>
          </cell>
          <cell r="G47">
            <v>0</v>
          </cell>
          <cell r="H47">
            <v>0</v>
          </cell>
          <cell r="I47">
            <v>4</v>
          </cell>
          <cell r="J47">
            <v>0</v>
          </cell>
          <cell r="L47">
            <v>0</v>
          </cell>
          <cell r="M47">
            <v>0</v>
          </cell>
          <cell r="N47">
            <v>30</v>
          </cell>
          <cell r="O47">
            <v>54</v>
          </cell>
          <cell r="P47">
            <v>4</v>
          </cell>
          <cell r="Q47">
            <v>1148736</v>
          </cell>
        </row>
        <row r="48">
          <cell r="C48">
            <v>4.74</v>
          </cell>
          <cell r="D48">
            <v>324833</v>
          </cell>
          <cell r="E48">
            <v>8</v>
          </cell>
          <cell r="F48">
            <v>548248</v>
          </cell>
          <cell r="G48">
            <v>7.44</v>
          </cell>
          <cell r="H48">
            <v>12.2</v>
          </cell>
          <cell r="I48">
            <v>7</v>
          </cell>
          <cell r="J48">
            <v>575598</v>
          </cell>
          <cell r="L48">
            <v>0</v>
          </cell>
          <cell r="M48">
            <v>0</v>
          </cell>
          <cell r="N48">
            <v>16</v>
          </cell>
          <cell r="O48">
            <v>58</v>
          </cell>
          <cell r="P48">
            <v>7</v>
          </cell>
          <cell r="Q48">
            <v>1939107</v>
          </cell>
        </row>
        <row r="49">
          <cell r="C49">
            <v>3.75</v>
          </cell>
          <cell r="D49">
            <v>777285</v>
          </cell>
          <cell r="E49">
            <v>31.25</v>
          </cell>
          <cell r="F49">
            <v>6477370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L49">
            <v>13.23</v>
          </cell>
          <cell r="M49">
            <v>2742306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>
            <v>4.1</v>
          </cell>
          <cell r="D50">
            <v>3552045</v>
          </cell>
          <cell r="E50">
            <v>47.87</v>
          </cell>
          <cell r="F50">
            <v>29331635</v>
          </cell>
          <cell r="G50">
            <v>47.87</v>
          </cell>
          <cell r="H50">
            <v>47.87</v>
          </cell>
          <cell r="I50">
            <v>0</v>
          </cell>
          <cell r="J50">
            <v>0</v>
          </cell>
          <cell r="L50">
            <v>6.86</v>
          </cell>
          <cell r="M50">
            <v>4441972</v>
          </cell>
          <cell r="N50">
            <v>6.86</v>
          </cell>
          <cell r="O50">
            <v>6.86</v>
          </cell>
          <cell r="P50">
            <v>0</v>
          </cell>
          <cell r="Q50">
            <v>0</v>
          </cell>
        </row>
        <row r="51">
          <cell r="C51">
            <v>3.38</v>
          </cell>
          <cell r="D51">
            <v>94283</v>
          </cell>
          <cell r="E51">
            <v>14.48</v>
          </cell>
          <cell r="F51">
            <v>403766</v>
          </cell>
          <cell r="G51">
            <v>0</v>
          </cell>
          <cell r="H51">
            <v>0</v>
          </cell>
          <cell r="I51">
            <v>6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6</v>
          </cell>
          <cell r="Q51">
            <v>0</v>
          </cell>
        </row>
        <row r="52">
          <cell r="C52">
            <v>4.02</v>
          </cell>
          <cell r="D52">
            <v>914002</v>
          </cell>
          <cell r="E52">
            <v>24.04</v>
          </cell>
          <cell r="F52">
            <v>5599599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10</v>
          </cell>
          <cell r="M52">
            <v>2143794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>
            <v>3.87</v>
          </cell>
          <cell r="D53">
            <v>613871</v>
          </cell>
          <cell r="E53">
            <v>18.6</v>
          </cell>
          <cell r="F53">
            <v>2950427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24.12</v>
          </cell>
          <cell r="M53">
            <v>3955700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>
            <v>4.5</v>
          </cell>
          <cell r="D54">
            <v>1180173</v>
          </cell>
          <cell r="E54">
            <v>16.15</v>
          </cell>
          <cell r="F54">
            <v>4281312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10.5</v>
          </cell>
          <cell r="M54">
            <v>2664843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>
            <v>3.14</v>
          </cell>
          <cell r="D55">
            <v>400995</v>
          </cell>
          <cell r="E55">
            <v>12</v>
          </cell>
          <cell r="F55">
            <v>1526381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24</v>
          </cell>
          <cell r="M55">
            <v>3141485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>
            <v>9.01</v>
          </cell>
          <cell r="D56">
            <v>2258492</v>
          </cell>
          <cell r="E56">
            <v>11.92</v>
          </cell>
          <cell r="F56">
            <v>2987922</v>
          </cell>
          <cell r="G56">
            <v>10.87</v>
          </cell>
          <cell r="H56">
            <v>14.21</v>
          </cell>
          <cell r="I56">
            <v>3</v>
          </cell>
          <cell r="J56">
            <v>3185975</v>
          </cell>
          <cell r="L56">
            <v>0</v>
          </cell>
          <cell r="M56">
            <v>0</v>
          </cell>
          <cell r="N56">
            <v>8.5</v>
          </cell>
          <cell r="O56">
            <v>26</v>
          </cell>
          <cell r="P56">
            <v>2</v>
          </cell>
          <cell r="Q56">
            <v>1890876</v>
          </cell>
        </row>
        <row r="57">
          <cell r="C57">
            <v>4.47</v>
          </cell>
          <cell r="D57">
            <v>2425492</v>
          </cell>
          <cell r="E57">
            <v>56.73</v>
          </cell>
          <cell r="F57">
            <v>30888762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25.9</v>
          </cell>
          <cell r="M57">
            <v>14098713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>
            <v>4.06</v>
          </cell>
          <cell r="D58">
            <v>933814</v>
          </cell>
          <cell r="E58">
            <v>0</v>
          </cell>
          <cell r="F58">
            <v>0</v>
          </cell>
          <cell r="G58">
            <v>0</v>
          </cell>
          <cell r="H58">
            <v>3</v>
          </cell>
          <cell r="I58">
            <v>1</v>
          </cell>
          <cell r="J58">
            <v>379360</v>
          </cell>
          <cell r="L58">
            <v>0</v>
          </cell>
          <cell r="M58">
            <v>0</v>
          </cell>
          <cell r="N58">
            <v>8</v>
          </cell>
          <cell r="O58">
            <v>34</v>
          </cell>
          <cell r="P58">
            <v>8</v>
          </cell>
          <cell r="Q58">
            <v>2671881</v>
          </cell>
        </row>
        <row r="59">
          <cell r="C59">
            <v>3.94</v>
          </cell>
          <cell r="D59">
            <v>156497</v>
          </cell>
          <cell r="E59">
            <v>26.36</v>
          </cell>
          <cell r="F59">
            <v>1047023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>
            <v>3.86</v>
          </cell>
          <cell r="D60">
            <v>1388033</v>
          </cell>
          <cell r="E60">
            <v>5.41</v>
          </cell>
          <cell r="F60">
            <v>1945351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5979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C61">
            <v>3.27</v>
          </cell>
          <cell r="D61">
            <v>240121</v>
          </cell>
          <cell r="E61">
            <v>2.98</v>
          </cell>
          <cell r="F61">
            <v>218826</v>
          </cell>
          <cell r="G61">
            <v>1.52</v>
          </cell>
          <cell r="H61">
            <v>1.72</v>
          </cell>
          <cell r="I61">
            <v>9</v>
          </cell>
          <cell r="J61">
            <v>114553</v>
          </cell>
          <cell r="L61">
            <v>6.5</v>
          </cell>
          <cell r="M61">
            <v>478156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C62">
            <v>4.4</v>
          </cell>
          <cell r="D62">
            <v>799297</v>
          </cell>
          <cell r="E62">
            <v>35</v>
          </cell>
          <cell r="F62">
            <v>6357210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1.33</v>
          </cell>
          <cell r="M62">
            <v>242060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C63">
            <v>3.7</v>
          </cell>
          <cell r="D63">
            <v>299042</v>
          </cell>
          <cell r="E63">
            <v>7.17</v>
          </cell>
          <cell r="F63">
            <v>579494</v>
          </cell>
          <cell r="G63">
            <v>12.59</v>
          </cell>
          <cell r="H63">
            <v>14.53</v>
          </cell>
          <cell r="I63">
            <v>9</v>
          </cell>
          <cell r="J63">
            <v>1079269</v>
          </cell>
          <cell r="L63">
            <v>0</v>
          </cell>
          <cell r="M63">
            <v>0</v>
          </cell>
          <cell r="N63">
            <v>3.82</v>
          </cell>
          <cell r="O63">
            <v>80</v>
          </cell>
          <cell r="P63">
            <v>9</v>
          </cell>
          <cell r="Q63">
            <v>1216182</v>
          </cell>
        </row>
        <row r="64">
          <cell r="C64">
            <v>3.91</v>
          </cell>
          <cell r="D64">
            <v>163563</v>
          </cell>
          <cell r="E64">
            <v>15.07</v>
          </cell>
          <cell r="F64">
            <v>630408</v>
          </cell>
          <cell r="G64">
            <v>5.12</v>
          </cell>
          <cell r="H64">
            <v>5.12</v>
          </cell>
          <cell r="I64">
            <v>1</v>
          </cell>
          <cell r="J64">
            <v>11554</v>
          </cell>
          <cell r="L64">
            <v>0</v>
          </cell>
          <cell r="M64">
            <v>0</v>
          </cell>
          <cell r="N64">
            <v>19</v>
          </cell>
          <cell r="O64">
            <v>42</v>
          </cell>
          <cell r="P64">
            <v>2</v>
          </cell>
          <cell r="Q64">
            <v>764714</v>
          </cell>
        </row>
        <row r="65">
          <cell r="C65">
            <v>5.77</v>
          </cell>
          <cell r="D65">
            <v>695148</v>
          </cell>
          <cell r="E65">
            <v>13.92</v>
          </cell>
          <cell r="F65">
            <v>2180727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N65">
            <v>30</v>
          </cell>
          <cell r="O65">
            <v>96.13</v>
          </cell>
          <cell r="P65">
            <v>7</v>
          </cell>
          <cell r="Q65">
            <v>1795647</v>
          </cell>
        </row>
        <row r="66">
          <cell r="C66">
            <v>4.39</v>
          </cell>
          <cell r="D66">
            <v>786265</v>
          </cell>
          <cell r="E66">
            <v>15</v>
          </cell>
          <cell r="F66">
            <v>2686552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9</v>
          </cell>
          <cell r="M66">
            <v>1614226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>
            <v>6.34</v>
          </cell>
          <cell r="D67">
            <v>224298</v>
          </cell>
          <cell r="E67">
            <v>17.42</v>
          </cell>
          <cell r="F67">
            <v>616287</v>
          </cell>
          <cell r="G67">
            <v>5</v>
          </cell>
          <cell r="H67">
            <v>5</v>
          </cell>
          <cell r="I67">
            <v>1</v>
          </cell>
          <cell r="J67">
            <v>78824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>
            <v>4.46</v>
          </cell>
          <cell r="D68">
            <v>1216004</v>
          </cell>
          <cell r="E68">
            <v>14.75</v>
          </cell>
          <cell r="F68">
            <v>4021524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4</v>
          </cell>
          <cell r="M68">
            <v>1090670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>
            <v>4.76</v>
          </cell>
          <cell r="D69">
            <v>207806</v>
          </cell>
          <cell r="E69">
            <v>16.62</v>
          </cell>
          <cell r="F69">
            <v>727815</v>
          </cell>
          <cell r="G69">
            <v>3</v>
          </cell>
          <cell r="H69">
            <v>3</v>
          </cell>
          <cell r="I69">
            <v>1</v>
          </cell>
          <cell r="J69">
            <v>86656</v>
          </cell>
          <cell r="L69">
            <v>0</v>
          </cell>
          <cell r="M69">
            <v>0</v>
          </cell>
          <cell r="N69">
            <v>26</v>
          </cell>
          <cell r="O69">
            <v>75</v>
          </cell>
          <cell r="P69">
            <v>4</v>
          </cell>
          <cell r="Q69">
            <v>1268537</v>
          </cell>
        </row>
        <row r="70">
          <cell r="C70">
            <v>6.34</v>
          </cell>
          <cell r="D70">
            <v>1832363</v>
          </cell>
          <cell r="E70">
            <v>20.25</v>
          </cell>
          <cell r="F70">
            <v>5637541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>
            <v>20.25</v>
          </cell>
          <cell r="M70">
            <v>5686408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>
            <v>6.44</v>
          </cell>
          <cell r="D71">
            <v>348838</v>
          </cell>
          <cell r="E71">
            <v>44.38</v>
          </cell>
          <cell r="F71">
            <v>2291615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</sheetData>
      <sheetData sheetId="2">
        <row r="8">
          <cell r="C8">
            <v>0.01</v>
          </cell>
          <cell r="D8">
            <v>7160065</v>
          </cell>
          <cell r="E8">
            <v>0</v>
          </cell>
        </row>
        <row r="9">
          <cell r="C9">
            <v>0.02</v>
          </cell>
          <cell r="D9">
            <v>3741866</v>
          </cell>
          <cell r="E9">
            <v>0</v>
          </cell>
        </row>
        <row r="10">
          <cell r="C10">
            <v>0.02</v>
          </cell>
          <cell r="D10">
            <v>31673888</v>
          </cell>
          <cell r="E10">
            <v>0</v>
          </cell>
        </row>
        <row r="11">
          <cell r="C11">
            <v>0.025</v>
          </cell>
          <cell r="D11">
            <v>4215085</v>
          </cell>
          <cell r="E11">
            <v>1053799</v>
          </cell>
        </row>
        <row r="12">
          <cell r="C12">
            <v>0.015</v>
          </cell>
          <cell r="D12">
            <v>4023041</v>
          </cell>
          <cell r="E12">
            <v>379692</v>
          </cell>
        </row>
        <row r="13">
          <cell r="C13">
            <v>0.02</v>
          </cell>
          <cell r="D13">
            <v>6625726</v>
          </cell>
          <cell r="E13">
            <v>0</v>
          </cell>
        </row>
        <row r="14">
          <cell r="C14">
            <v>0.02</v>
          </cell>
          <cell r="D14">
            <v>2964986</v>
          </cell>
          <cell r="E14">
            <v>0</v>
          </cell>
        </row>
        <row r="15">
          <cell r="C15">
            <v>0.015</v>
          </cell>
          <cell r="D15">
            <v>22450840</v>
          </cell>
          <cell r="E15">
            <v>0</v>
          </cell>
        </row>
        <row r="16">
          <cell r="C16">
            <v>0.015</v>
          </cell>
          <cell r="D16">
            <v>51798848</v>
          </cell>
          <cell r="E16">
            <v>0</v>
          </cell>
        </row>
        <row r="17">
          <cell r="C17">
            <v>0.02</v>
          </cell>
          <cell r="D17">
            <v>64987583</v>
          </cell>
          <cell r="E17">
            <v>0</v>
          </cell>
        </row>
        <row r="18">
          <cell r="C18">
            <v>0.02</v>
          </cell>
          <cell r="D18">
            <v>1495053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0.02</v>
          </cell>
          <cell r="D20">
            <v>1424184</v>
          </cell>
          <cell r="E20">
            <v>0</v>
          </cell>
        </row>
        <row r="21">
          <cell r="C21">
            <v>0.02</v>
          </cell>
          <cell r="D21">
            <v>2471300</v>
          </cell>
          <cell r="E21">
            <v>0</v>
          </cell>
        </row>
        <row r="22">
          <cell r="C22">
            <v>0.02</v>
          </cell>
          <cell r="D22">
            <v>3095435</v>
          </cell>
          <cell r="E22">
            <v>0</v>
          </cell>
        </row>
        <row r="23">
          <cell r="C23">
            <v>0.025</v>
          </cell>
          <cell r="D23">
            <v>5349890</v>
          </cell>
          <cell r="E23">
            <v>1047491</v>
          </cell>
        </row>
        <row r="24">
          <cell r="C24">
            <v>0.02</v>
          </cell>
          <cell r="D24">
            <v>125380883</v>
          </cell>
          <cell r="E24">
            <v>0</v>
          </cell>
        </row>
        <row r="25">
          <cell r="C25">
            <v>0.03</v>
          </cell>
          <cell r="D25">
            <v>1555153</v>
          </cell>
          <cell r="E25">
            <v>0</v>
          </cell>
          <cell r="L25">
            <v>8792485</v>
          </cell>
        </row>
        <row r="26">
          <cell r="C26">
            <v>0.02</v>
          </cell>
          <cell r="D26">
            <v>1152806</v>
          </cell>
          <cell r="E26">
            <v>1173543</v>
          </cell>
        </row>
        <row r="27">
          <cell r="C27">
            <v>0.02</v>
          </cell>
          <cell r="D27">
            <v>4432912</v>
          </cell>
          <cell r="E27">
            <v>0</v>
          </cell>
        </row>
        <row r="28">
          <cell r="C28">
            <v>0.015</v>
          </cell>
          <cell r="D28">
            <v>2690967</v>
          </cell>
          <cell r="E28">
            <v>0</v>
          </cell>
        </row>
        <row r="29">
          <cell r="C29">
            <v>0.01</v>
          </cell>
          <cell r="D29">
            <v>808228</v>
          </cell>
          <cell r="E29">
            <v>0</v>
          </cell>
        </row>
        <row r="30">
          <cell r="C30">
            <v>0.02</v>
          </cell>
          <cell r="D30">
            <v>18457334</v>
          </cell>
          <cell r="E30">
            <v>1315678</v>
          </cell>
        </row>
        <row r="31">
          <cell r="C31">
            <v>0.0181</v>
          </cell>
          <cell r="D31">
            <v>13230378</v>
          </cell>
          <cell r="E31">
            <v>0</v>
          </cell>
        </row>
        <row r="32">
          <cell r="C32">
            <v>0.03</v>
          </cell>
          <cell r="D32">
            <v>5046316</v>
          </cell>
          <cell r="E32">
            <v>0</v>
          </cell>
        </row>
        <row r="33">
          <cell r="C33">
            <v>0.02</v>
          </cell>
          <cell r="D33">
            <v>146305236</v>
          </cell>
          <cell r="E33">
            <v>0</v>
          </cell>
        </row>
        <row r="34">
          <cell r="C34">
            <v>0.0225</v>
          </cell>
          <cell r="D34">
            <v>6738298</v>
          </cell>
          <cell r="E34">
            <v>447497</v>
          </cell>
        </row>
        <row r="35">
          <cell r="C35">
            <v>0.0175</v>
          </cell>
          <cell r="D35">
            <v>50163710</v>
          </cell>
          <cell r="E35">
            <v>9440133</v>
          </cell>
        </row>
        <row r="36">
          <cell r="C36">
            <v>0.02</v>
          </cell>
          <cell r="D36">
            <v>19545497</v>
          </cell>
          <cell r="E36">
            <v>0</v>
          </cell>
        </row>
        <row r="37">
          <cell r="C37">
            <v>0.02</v>
          </cell>
          <cell r="D37">
            <v>2623571</v>
          </cell>
          <cell r="E37">
            <v>0</v>
          </cell>
        </row>
        <row r="38">
          <cell r="C38">
            <v>0.02</v>
          </cell>
          <cell r="D38">
            <v>10767727</v>
          </cell>
          <cell r="E38">
            <v>0</v>
          </cell>
        </row>
        <row r="39">
          <cell r="C39">
            <v>0.025</v>
          </cell>
          <cell r="D39">
            <v>18999959</v>
          </cell>
          <cell r="E39">
            <v>0</v>
          </cell>
        </row>
        <row r="40">
          <cell r="C40">
            <v>0.015</v>
          </cell>
          <cell r="D40">
            <v>1426584</v>
          </cell>
          <cell r="E40">
            <v>0</v>
          </cell>
        </row>
        <row r="41">
          <cell r="C41">
            <v>0.015</v>
          </cell>
          <cell r="D41">
            <v>4608262</v>
          </cell>
          <cell r="E41">
            <v>0</v>
          </cell>
        </row>
        <row r="42">
          <cell r="C42">
            <v>0.015</v>
          </cell>
          <cell r="D42">
            <v>6649128</v>
          </cell>
          <cell r="E42">
            <v>0</v>
          </cell>
        </row>
        <row r="43">
          <cell r="C43">
            <v>0.015</v>
          </cell>
          <cell r="D43">
            <v>83405961</v>
          </cell>
          <cell r="E43">
            <v>9267329</v>
          </cell>
        </row>
        <row r="44">
          <cell r="C44">
            <v>0.03</v>
          </cell>
          <cell r="D44">
            <v>31785965</v>
          </cell>
          <cell r="E44">
            <v>0</v>
          </cell>
        </row>
        <row r="45">
          <cell r="C45">
            <v>0.02</v>
          </cell>
          <cell r="D45">
            <v>9165265</v>
          </cell>
          <cell r="E45">
            <v>1116150</v>
          </cell>
        </row>
        <row r="46">
          <cell r="C46">
            <v>0.02</v>
          </cell>
          <cell r="D46">
            <v>5351917</v>
          </cell>
          <cell r="E46">
            <v>0</v>
          </cell>
        </row>
        <row r="47">
          <cell r="C47">
            <v>0.015</v>
          </cell>
          <cell r="D47">
            <v>26666814</v>
          </cell>
          <cell r="E47">
            <v>0</v>
          </cell>
        </row>
        <row r="48">
          <cell r="C48">
            <v>0.02</v>
          </cell>
          <cell r="D48">
            <v>1240228</v>
          </cell>
          <cell r="E48">
            <v>0</v>
          </cell>
        </row>
        <row r="49">
          <cell r="C49">
            <v>0.02</v>
          </cell>
          <cell r="D49">
            <v>3262975</v>
          </cell>
          <cell r="E49">
            <v>0</v>
          </cell>
        </row>
        <row r="50">
          <cell r="C50">
            <v>0.015</v>
          </cell>
          <cell r="D50">
            <v>2804117</v>
          </cell>
          <cell r="E50">
            <v>569252</v>
          </cell>
        </row>
        <row r="51">
          <cell r="C51">
            <v>0.02</v>
          </cell>
          <cell r="D51">
            <v>14161674</v>
          </cell>
          <cell r="E51">
            <v>625460</v>
          </cell>
        </row>
        <row r="52">
          <cell r="C52">
            <v>0.025</v>
          </cell>
          <cell r="D52">
            <v>21162253</v>
          </cell>
          <cell r="E52">
            <v>1361176</v>
          </cell>
        </row>
        <row r="53">
          <cell r="C53">
            <v>0.02</v>
          </cell>
          <cell r="D53">
            <v>942408</v>
          </cell>
          <cell r="E53">
            <v>0</v>
          </cell>
        </row>
        <row r="54">
          <cell r="C54">
            <v>0.02</v>
          </cell>
          <cell r="D54">
            <v>10713686</v>
          </cell>
          <cell r="E54">
            <v>0</v>
          </cell>
        </row>
        <row r="55">
          <cell r="C55">
            <v>0.0225</v>
          </cell>
          <cell r="D55">
            <v>12004707</v>
          </cell>
          <cell r="E55">
            <v>0</v>
          </cell>
        </row>
        <row r="56">
          <cell r="C56">
            <v>0.02</v>
          </cell>
          <cell r="D56">
            <v>14559642</v>
          </cell>
          <cell r="E56">
            <v>0</v>
          </cell>
        </row>
        <row r="57">
          <cell r="C57">
            <v>0.02</v>
          </cell>
          <cell r="D57">
            <v>7181417</v>
          </cell>
          <cell r="E57">
            <v>0</v>
          </cell>
        </row>
        <row r="58">
          <cell r="C58">
            <v>0.0175</v>
          </cell>
          <cell r="D58">
            <v>12027275</v>
          </cell>
          <cell r="E58">
            <v>0</v>
          </cell>
        </row>
        <row r="59">
          <cell r="C59">
            <v>0.02</v>
          </cell>
          <cell r="D59">
            <v>50857765</v>
          </cell>
          <cell r="E59">
            <v>1990000</v>
          </cell>
        </row>
        <row r="60">
          <cell r="C60">
            <v>0.02</v>
          </cell>
          <cell r="D60">
            <v>17024434</v>
          </cell>
          <cell r="E60">
            <v>4555850</v>
          </cell>
        </row>
        <row r="61">
          <cell r="C61">
            <v>0.015</v>
          </cell>
          <cell r="D61">
            <v>564401</v>
          </cell>
          <cell r="E61">
            <v>0</v>
          </cell>
        </row>
        <row r="62">
          <cell r="C62">
            <v>0.0208</v>
          </cell>
          <cell r="D62">
            <v>33767608</v>
          </cell>
          <cell r="E62">
            <v>0</v>
          </cell>
        </row>
        <row r="63">
          <cell r="C63">
            <v>0.02</v>
          </cell>
          <cell r="D63">
            <v>3766822</v>
          </cell>
          <cell r="E63">
            <v>0</v>
          </cell>
        </row>
        <row r="64">
          <cell r="C64">
            <v>0.01</v>
          </cell>
          <cell r="D64">
            <v>5621301</v>
          </cell>
          <cell r="E64">
            <v>0</v>
          </cell>
        </row>
        <row r="65">
          <cell r="C65">
            <v>0.02</v>
          </cell>
          <cell r="D65">
            <v>7260026</v>
          </cell>
          <cell r="E65">
            <v>0</v>
          </cell>
        </row>
        <row r="66">
          <cell r="C66">
            <v>0.02</v>
          </cell>
          <cell r="D66">
            <v>3470550</v>
          </cell>
          <cell r="E66">
            <v>0</v>
          </cell>
        </row>
        <row r="67">
          <cell r="C67">
            <v>0.02</v>
          </cell>
          <cell r="D67">
            <v>8844208</v>
          </cell>
          <cell r="E67">
            <v>0</v>
          </cell>
        </row>
        <row r="68">
          <cell r="C68">
            <v>0.02</v>
          </cell>
          <cell r="D68">
            <v>6932730</v>
          </cell>
          <cell r="E68">
            <v>0</v>
          </cell>
        </row>
        <row r="69">
          <cell r="C69">
            <v>0.01</v>
          </cell>
          <cell r="D69">
            <v>935966</v>
          </cell>
          <cell r="E69">
            <v>0</v>
          </cell>
        </row>
        <row r="70">
          <cell r="C70">
            <v>0.02</v>
          </cell>
          <cell r="D70">
            <v>2783562</v>
          </cell>
          <cell r="E70">
            <v>0</v>
          </cell>
        </row>
        <row r="71">
          <cell r="C71">
            <v>0.02</v>
          </cell>
          <cell r="D71">
            <v>3039911</v>
          </cell>
          <cell r="E71">
            <v>0</v>
          </cell>
        </row>
        <row r="72">
          <cell r="C72">
            <v>0.0175</v>
          </cell>
          <cell r="D72">
            <v>19821735</v>
          </cell>
          <cell r="E72">
            <v>0</v>
          </cell>
        </row>
        <row r="73">
          <cell r="C73">
            <v>0.01</v>
          </cell>
          <cell r="D73">
            <v>2228817</v>
          </cell>
          <cell r="E73">
            <v>0</v>
          </cell>
        </row>
      </sheetData>
      <sheetData sheetId="3">
        <row r="8">
          <cell r="N8">
            <v>374433.5</v>
          </cell>
        </row>
        <row r="9">
          <cell r="N9">
            <v>102209</v>
          </cell>
        </row>
        <row r="10">
          <cell r="N10">
            <v>158097.5</v>
          </cell>
        </row>
        <row r="11">
          <cell r="N11">
            <v>185588</v>
          </cell>
        </row>
        <row r="12">
          <cell r="N12">
            <v>279532.5</v>
          </cell>
        </row>
        <row r="13">
          <cell r="N13">
            <v>292858</v>
          </cell>
        </row>
        <row r="14">
          <cell r="N14">
            <v>153583.5</v>
          </cell>
        </row>
        <row r="15">
          <cell r="N15">
            <v>565928.5</v>
          </cell>
        </row>
        <row r="16">
          <cell r="N16">
            <v>2342427</v>
          </cell>
        </row>
        <row r="17">
          <cell r="N17">
            <v>1012782</v>
          </cell>
        </row>
        <row r="18">
          <cell r="N18">
            <v>129066</v>
          </cell>
        </row>
        <row r="19">
          <cell r="N19">
            <v>626578</v>
          </cell>
        </row>
        <row r="20">
          <cell r="N20">
            <v>100345.5</v>
          </cell>
        </row>
        <row r="21">
          <cell r="N21">
            <v>200564.5</v>
          </cell>
        </row>
        <row r="22">
          <cell r="N22">
            <v>157490</v>
          </cell>
        </row>
        <row r="23">
          <cell r="N23">
            <v>315106.5</v>
          </cell>
        </row>
        <row r="24">
          <cell r="N24">
            <v>4104461.5</v>
          </cell>
        </row>
        <row r="25">
          <cell r="N25">
            <v>85632</v>
          </cell>
        </row>
        <row r="26">
          <cell r="N26">
            <v>81404</v>
          </cell>
        </row>
        <row r="27">
          <cell r="N27">
            <v>240117</v>
          </cell>
        </row>
        <row r="28">
          <cell r="N28">
            <v>72008</v>
          </cell>
        </row>
        <row r="29">
          <cell r="N29">
            <v>662382</v>
          </cell>
        </row>
        <row r="30">
          <cell r="N30">
            <v>572415.5</v>
          </cell>
        </row>
        <row r="31">
          <cell r="N31">
            <v>188544.5</v>
          </cell>
        </row>
        <row r="32">
          <cell r="N32">
            <v>84060.5</v>
          </cell>
        </row>
        <row r="33">
          <cell r="N33">
            <v>1987138.5</v>
          </cell>
        </row>
        <row r="34">
          <cell r="N34">
            <v>309494.5</v>
          </cell>
        </row>
        <row r="35">
          <cell r="N35">
            <v>2181837</v>
          </cell>
        </row>
        <row r="36">
          <cell r="N36">
            <v>891777</v>
          </cell>
        </row>
        <row r="37">
          <cell r="N37">
            <v>71148</v>
          </cell>
        </row>
        <row r="38">
          <cell r="N38">
            <v>274438</v>
          </cell>
        </row>
        <row r="39">
          <cell r="N39">
            <v>653791.5</v>
          </cell>
        </row>
        <row r="40">
          <cell r="N40">
            <v>97969.5</v>
          </cell>
        </row>
        <row r="41">
          <cell r="N41">
            <v>282480.5</v>
          </cell>
        </row>
        <row r="42">
          <cell r="N42">
            <v>699268.5</v>
          </cell>
        </row>
        <row r="43">
          <cell r="N43">
            <v>3429618</v>
          </cell>
        </row>
        <row r="44">
          <cell r="N44">
            <v>753946</v>
          </cell>
        </row>
        <row r="45">
          <cell r="N45">
            <v>122031.5</v>
          </cell>
        </row>
        <row r="46">
          <cell r="N46">
            <v>152739</v>
          </cell>
        </row>
        <row r="47">
          <cell r="N47">
            <v>1182559</v>
          </cell>
        </row>
        <row r="48">
          <cell r="N48">
            <v>47382.5</v>
          </cell>
        </row>
        <row r="49">
          <cell r="N49">
            <v>226753</v>
          </cell>
        </row>
        <row r="50">
          <cell r="N50">
            <v>155164</v>
          </cell>
        </row>
        <row r="51">
          <cell r="N51">
            <v>358155.5</v>
          </cell>
        </row>
        <row r="52">
          <cell r="N52">
            <v>290165</v>
          </cell>
        </row>
        <row r="53">
          <cell r="N53">
            <v>34938</v>
          </cell>
        </row>
        <row r="54">
          <cell r="N54">
            <v>88049</v>
          </cell>
        </row>
        <row r="55">
          <cell r="N55">
            <v>208475</v>
          </cell>
        </row>
        <row r="56">
          <cell r="N56">
            <v>455546</v>
          </cell>
        </row>
        <row r="57">
          <cell r="N57">
            <v>510215</v>
          </cell>
        </row>
        <row r="58">
          <cell r="N58">
            <v>515180</v>
          </cell>
        </row>
        <row r="59">
          <cell r="N59">
            <v>1799322</v>
          </cell>
        </row>
        <row r="60">
          <cell r="N60">
            <v>132380</v>
          </cell>
        </row>
        <row r="61">
          <cell r="N61">
            <v>61805.5</v>
          </cell>
        </row>
        <row r="62">
          <cell r="N62">
            <v>353983</v>
          </cell>
        </row>
        <row r="63">
          <cell r="N63">
            <v>155888</v>
          </cell>
        </row>
        <row r="64">
          <cell r="N64">
            <v>1875333</v>
          </cell>
        </row>
        <row r="65">
          <cell r="N65">
            <v>588611</v>
          </cell>
        </row>
        <row r="66">
          <cell r="N66">
            <v>145040</v>
          </cell>
        </row>
        <row r="67">
          <cell r="N67">
            <v>424025</v>
          </cell>
        </row>
        <row r="68">
          <cell r="N68">
            <v>125531</v>
          </cell>
        </row>
        <row r="69">
          <cell r="N69">
            <v>112522</v>
          </cell>
        </row>
        <row r="70">
          <cell r="N70">
            <v>54382.5</v>
          </cell>
        </row>
        <row r="71">
          <cell r="N71">
            <v>486248.5</v>
          </cell>
        </row>
        <row r="72">
          <cell r="N72">
            <v>322768</v>
          </cell>
        </row>
        <row r="73">
          <cell r="N73">
            <v>241839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2946</v>
          </cell>
        </row>
        <row r="4">
          <cell r="C4">
            <v>1531</v>
          </cell>
        </row>
        <row r="5">
          <cell r="C5">
            <v>3074</v>
          </cell>
        </row>
        <row r="6">
          <cell r="C6">
            <v>1146</v>
          </cell>
        </row>
        <row r="7">
          <cell r="C7">
            <v>2007</v>
          </cell>
        </row>
        <row r="8">
          <cell r="C8">
            <v>1979</v>
          </cell>
        </row>
        <row r="9">
          <cell r="C9">
            <v>1132</v>
          </cell>
        </row>
        <row r="10">
          <cell r="C10">
            <v>5122</v>
          </cell>
        </row>
        <row r="11">
          <cell r="C11">
            <v>9646</v>
          </cell>
        </row>
        <row r="12">
          <cell r="C12">
            <v>6161</v>
          </cell>
        </row>
        <row r="13">
          <cell r="C13">
            <v>637</v>
          </cell>
        </row>
        <row r="14">
          <cell r="C14">
            <v>562</v>
          </cell>
        </row>
        <row r="15">
          <cell r="C15">
            <v>571</v>
          </cell>
        </row>
        <row r="16">
          <cell r="C16">
            <v>740</v>
          </cell>
        </row>
        <row r="17">
          <cell r="C17">
            <v>1200</v>
          </cell>
        </row>
        <row r="18">
          <cell r="C18">
            <v>1957</v>
          </cell>
        </row>
        <row r="19">
          <cell r="C19">
            <v>10988</v>
          </cell>
        </row>
        <row r="20">
          <cell r="C20">
            <v>356</v>
          </cell>
        </row>
        <row r="21">
          <cell r="C21">
            <v>540</v>
          </cell>
        </row>
        <row r="22">
          <cell r="C22">
            <v>1826</v>
          </cell>
        </row>
        <row r="23">
          <cell r="C23">
            <v>1112</v>
          </cell>
        </row>
        <row r="24">
          <cell r="C24">
            <v>1235</v>
          </cell>
        </row>
        <row r="25">
          <cell r="C25">
            <v>4392</v>
          </cell>
        </row>
        <row r="26">
          <cell r="C26">
            <v>1527</v>
          </cell>
        </row>
        <row r="27">
          <cell r="C27">
            <v>972</v>
          </cell>
        </row>
        <row r="28">
          <cell r="C28">
            <v>9060</v>
          </cell>
        </row>
        <row r="29">
          <cell r="C29">
            <v>1903</v>
          </cell>
        </row>
        <row r="30">
          <cell r="C30">
            <v>5458</v>
          </cell>
        </row>
        <row r="31">
          <cell r="C31">
            <v>5033</v>
          </cell>
        </row>
        <row r="32">
          <cell r="C32">
            <v>1088</v>
          </cell>
        </row>
        <row r="33">
          <cell r="C33">
            <v>2024</v>
          </cell>
        </row>
        <row r="34">
          <cell r="C34">
            <v>4288</v>
          </cell>
        </row>
        <row r="35">
          <cell r="C35">
            <v>493</v>
          </cell>
        </row>
        <row r="36">
          <cell r="C36">
            <v>1206</v>
          </cell>
        </row>
        <row r="37">
          <cell r="C37">
            <v>1878</v>
          </cell>
        </row>
        <row r="38">
          <cell r="C38">
            <v>9926</v>
          </cell>
        </row>
        <row r="39">
          <cell r="C39">
            <v>3232</v>
          </cell>
        </row>
        <row r="40">
          <cell r="C40">
            <v>1311</v>
          </cell>
        </row>
        <row r="41">
          <cell r="C41">
            <v>947</v>
          </cell>
        </row>
        <row r="42">
          <cell r="C42">
            <v>5792</v>
          </cell>
        </row>
        <row r="43">
          <cell r="C43">
            <v>487</v>
          </cell>
        </row>
        <row r="44">
          <cell r="C44">
            <v>755</v>
          </cell>
        </row>
        <row r="45">
          <cell r="C45">
            <v>1786</v>
          </cell>
        </row>
        <row r="46">
          <cell r="C46">
            <v>1304</v>
          </cell>
        </row>
        <row r="47">
          <cell r="C47">
            <v>1868</v>
          </cell>
        </row>
        <row r="48">
          <cell r="C48">
            <v>692</v>
          </cell>
        </row>
        <row r="49">
          <cell r="C49">
            <v>1298</v>
          </cell>
        </row>
        <row r="50">
          <cell r="C50">
            <v>1491</v>
          </cell>
        </row>
        <row r="51">
          <cell r="C51">
            <v>5405</v>
          </cell>
        </row>
        <row r="52">
          <cell r="C52">
            <v>2799</v>
          </cell>
        </row>
        <row r="53">
          <cell r="C53">
            <v>1911</v>
          </cell>
        </row>
        <row r="54">
          <cell r="C54">
            <v>5677</v>
          </cell>
        </row>
        <row r="55">
          <cell r="C55">
            <v>5147</v>
          </cell>
        </row>
        <row r="56">
          <cell r="C56">
            <v>376</v>
          </cell>
        </row>
        <row r="57">
          <cell r="C57">
            <v>6767</v>
          </cell>
        </row>
        <row r="58">
          <cell r="C58">
            <v>1052</v>
          </cell>
        </row>
        <row r="59">
          <cell r="C59">
            <v>2913</v>
          </cell>
        </row>
        <row r="60">
          <cell r="C60">
            <v>2420</v>
          </cell>
        </row>
        <row r="61">
          <cell r="C61">
            <v>1431</v>
          </cell>
        </row>
        <row r="62">
          <cell r="C62">
            <v>2069</v>
          </cell>
        </row>
        <row r="63">
          <cell r="C63">
            <v>935</v>
          </cell>
        </row>
        <row r="64">
          <cell r="C64">
            <v>941</v>
          </cell>
        </row>
        <row r="65">
          <cell r="C65">
            <v>450</v>
          </cell>
        </row>
        <row r="66">
          <cell r="C66">
            <v>1336</v>
          </cell>
        </row>
        <row r="67">
          <cell r="C67">
            <v>2487</v>
          </cell>
        </row>
        <row r="68">
          <cell r="C68">
            <v>710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1 State Summary"/>
      <sheetName val=" Audit Adjustments"/>
      <sheetName val="Table 2 Distribution &amp; Adjusts"/>
      <sheetName val="Table 3 Levels 1&amp;2"/>
      <sheetName val="Table 4 Level 3"/>
      <sheetName val="Table 5 Lab Schools_Revised"/>
      <sheetName val="Table 6 Local Wealth Factor"/>
      <sheetName val="Table 7 Local Revenue"/>
      <sheetName val="Table 8 Membership"/>
    </sheetNames>
    <sheetDataSet>
      <sheetData sheetId="1">
        <row r="8">
          <cell r="C8">
            <v>35051669</v>
          </cell>
          <cell r="F8">
            <v>87721</v>
          </cell>
          <cell r="G8">
            <v>0</v>
          </cell>
        </row>
        <row r="9">
          <cell r="C9">
            <v>17441952</v>
          </cell>
          <cell r="F9">
            <v>0</v>
          </cell>
          <cell r="G9">
            <v>-2329</v>
          </cell>
        </row>
        <row r="10">
          <cell r="C10">
            <v>41298081</v>
          </cell>
          <cell r="F10">
            <v>0</v>
          </cell>
          <cell r="G10">
            <v>-8195</v>
          </cell>
        </row>
        <row r="11">
          <cell r="C11">
            <v>18962497</v>
          </cell>
          <cell r="F11">
            <v>2337</v>
          </cell>
          <cell r="G11">
            <v>0</v>
          </cell>
        </row>
        <row r="12">
          <cell r="C12">
            <v>24908257</v>
          </cell>
          <cell r="F12">
            <v>1</v>
          </cell>
          <cell r="G12">
            <v>0</v>
          </cell>
        </row>
        <row r="13">
          <cell r="C13">
            <v>21816229</v>
          </cell>
          <cell r="F13">
            <v>2</v>
          </cell>
          <cell r="G13">
            <v>0</v>
          </cell>
        </row>
        <row r="14">
          <cell r="C14">
            <v>8213850</v>
          </cell>
          <cell r="F14">
            <v>0</v>
          </cell>
          <cell r="G14">
            <v>-10485</v>
          </cell>
        </row>
        <row r="15">
          <cell r="C15">
            <v>59436329</v>
          </cell>
          <cell r="F15">
            <v>218124</v>
          </cell>
          <cell r="G15">
            <v>0</v>
          </cell>
        </row>
        <row r="16">
          <cell r="C16">
            <v>157045330</v>
          </cell>
          <cell r="F16">
            <v>4927</v>
          </cell>
          <cell r="G16">
            <v>0</v>
          </cell>
        </row>
        <row r="17">
          <cell r="C17">
            <v>90644987</v>
          </cell>
          <cell r="F17">
            <v>0</v>
          </cell>
          <cell r="G17">
            <v>-1165</v>
          </cell>
        </row>
        <row r="18">
          <cell r="C18">
            <v>7764035</v>
          </cell>
          <cell r="F18">
            <v>125</v>
          </cell>
          <cell r="G18">
            <v>0</v>
          </cell>
        </row>
        <row r="19">
          <cell r="C19">
            <v>6289001</v>
          </cell>
          <cell r="F19">
            <v>27551</v>
          </cell>
          <cell r="G19">
            <v>0</v>
          </cell>
        </row>
        <row r="20">
          <cell r="C20">
            <v>7836642</v>
          </cell>
          <cell r="F20">
            <v>0</v>
          </cell>
          <cell r="G20">
            <v>-2332</v>
          </cell>
        </row>
        <row r="21">
          <cell r="C21">
            <v>11344217</v>
          </cell>
          <cell r="F21">
            <v>0</v>
          </cell>
          <cell r="G21">
            <v>-3</v>
          </cell>
        </row>
        <row r="22">
          <cell r="C22">
            <v>14023678</v>
          </cell>
          <cell r="F22">
            <v>0</v>
          </cell>
          <cell r="G22">
            <v>-124</v>
          </cell>
        </row>
        <row r="23">
          <cell r="C23">
            <v>18238531</v>
          </cell>
          <cell r="F23">
            <v>0</v>
          </cell>
          <cell r="G23">
            <v>-1</v>
          </cell>
        </row>
        <row r="24">
          <cell r="C24">
            <v>140630529</v>
          </cell>
          <cell r="F24">
            <v>0</v>
          </cell>
          <cell r="G24">
            <v>-3267658</v>
          </cell>
        </row>
        <row r="25">
          <cell r="C25">
            <v>7611848</v>
          </cell>
          <cell r="F25">
            <v>0</v>
          </cell>
          <cell r="G25">
            <v>-5824</v>
          </cell>
        </row>
        <row r="26">
          <cell r="C26">
            <v>10484075</v>
          </cell>
          <cell r="F26">
            <v>15217</v>
          </cell>
          <cell r="G26">
            <v>0</v>
          </cell>
        </row>
        <row r="27">
          <cell r="C27">
            <v>22459379</v>
          </cell>
          <cell r="F27">
            <v>0</v>
          </cell>
          <cell r="G27">
            <v>-3494</v>
          </cell>
        </row>
        <row r="28">
          <cell r="C28">
            <v>14455819</v>
          </cell>
          <cell r="F28">
            <v>0</v>
          </cell>
          <cell r="G28">
            <v>-6989</v>
          </cell>
        </row>
        <row r="29">
          <cell r="C29">
            <v>15280684</v>
          </cell>
          <cell r="F29">
            <v>66</v>
          </cell>
          <cell r="G29">
            <v>0</v>
          </cell>
        </row>
        <row r="30">
          <cell r="C30">
            <v>54655078</v>
          </cell>
          <cell r="F30">
            <v>0</v>
          </cell>
          <cell r="G30">
            <v>-2332</v>
          </cell>
        </row>
        <row r="31">
          <cell r="C31">
            <v>13229369</v>
          </cell>
          <cell r="F31">
            <v>74851</v>
          </cell>
          <cell r="G31">
            <v>0</v>
          </cell>
        </row>
        <row r="32">
          <cell r="C32">
            <v>10303388</v>
          </cell>
          <cell r="F32">
            <v>4659</v>
          </cell>
          <cell r="G32">
            <v>0</v>
          </cell>
        </row>
        <row r="33">
          <cell r="C33">
            <v>128872680</v>
          </cell>
          <cell r="F33">
            <v>0</v>
          </cell>
          <cell r="G33">
            <v>-24812</v>
          </cell>
        </row>
        <row r="34">
          <cell r="C34">
            <v>23010464</v>
          </cell>
          <cell r="F34">
            <v>2333</v>
          </cell>
          <cell r="G34">
            <v>0</v>
          </cell>
        </row>
        <row r="35">
          <cell r="C35">
            <v>73320477</v>
          </cell>
          <cell r="F35">
            <v>32645</v>
          </cell>
          <cell r="G35">
            <v>0</v>
          </cell>
        </row>
        <row r="36">
          <cell r="C36">
            <v>54417765</v>
          </cell>
          <cell r="F36">
            <v>0</v>
          </cell>
          <cell r="G36">
            <v>-3205</v>
          </cell>
        </row>
        <row r="37">
          <cell r="C37">
            <v>10234197</v>
          </cell>
          <cell r="F37">
            <v>0</v>
          </cell>
          <cell r="G37">
            <v>-4660</v>
          </cell>
        </row>
        <row r="38">
          <cell r="C38">
            <v>21269044</v>
          </cell>
          <cell r="F38">
            <v>2332</v>
          </cell>
          <cell r="G38">
            <v>0</v>
          </cell>
        </row>
        <row r="39">
          <cell r="C39">
            <v>76560771</v>
          </cell>
          <cell r="F39">
            <v>0</v>
          </cell>
          <cell r="G39">
            <v>-499</v>
          </cell>
        </row>
        <row r="40">
          <cell r="C40">
            <v>9344612</v>
          </cell>
          <cell r="F40">
            <v>0</v>
          </cell>
          <cell r="G40">
            <v>-8398</v>
          </cell>
        </row>
        <row r="41">
          <cell r="C41">
            <v>19371882</v>
          </cell>
          <cell r="F41">
            <v>0</v>
          </cell>
          <cell r="G41">
            <v>-4662</v>
          </cell>
        </row>
        <row r="42">
          <cell r="C42">
            <v>24108114</v>
          </cell>
          <cell r="F42">
            <v>2</v>
          </cell>
          <cell r="G42">
            <v>0</v>
          </cell>
        </row>
        <row r="43">
          <cell r="C43">
            <v>222341539</v>
          </cell>
          <cell r="F43">
            <v>0</v>
          </cell>
          <cell r="G43">
            <v>-1863836</v>
          </cell>
        </row>
        <row r="44">
          <cell r="C44">
            <v>68716627</v>
          </cell>
          <cell r="F44">
            <v>0</v>
          </cell>
          <cell r="G44">
            <v>-19356</v>
          </cell>
        </row>
        <row r="45">
          <cell r="C45">
            <v>10676705</v>
          </cell>
          <cell r="F45">
            <v>15137</v>
          </cell>
          <cell r="G45">
            <v>0</v>
          </cell>
        </row>
        <row r="46">
          <cell r="C46">
            <v>9102529</v>
          </cell>
          <cell r="F46">
            <v>0</v>
          </cell>
          <cell r="G46">
            <v>-4009</v>
          </cell>
        </row>
        <row r="47">
          <cell r="C47">
            <v>79580411</v>
          </cell>
          <cell r="F47">
            <v>0</v>
          </cell>
          <cell r="G47">
            <v>-64969</v>
          </cell>
        </row>
        <row r="48">
          <cell r="C48">
            <v>8576279</v>
          </cell>
          <cell r="F48">
            <v>0</v>
          </cell>
          <cell r="G48">
            <v>-98371</v>
          </cell>
        </row>
        <row r="49">
          <cell r="C49">
            <v>14971987</v>
          </cell>
          <cell r="F49">
            <v>0</v>
          </cell>
          <cell r="G49">
            <v>0</v>
          </cell>
        </row>
        <row r="50">
          <cell r="C50">
            <v>16167824</v>
          </cell>
          <cell r="F50">
            <v>0</v>
          </cell>
          <cell r="G50">
            <v>-2</v>
          </cell>
        </row>
        <row r="51">
          <cell r="C51">
            <v>26399373</v>
          </cell>
          <cell r="F51">
            <v>0</v>
          </cell>
          <cell r="G51">
            <v>-1</v>
          </cell>
        </row>
        <row r="52">
          <cell r="C52">
            <v>23662675</v>
          </cell>
          <cell r="F52">
            <v>0</v>
          </cell>
          <cell r="G52">
            <v>-5046</v>
          </cell>
        </row>
        <row r="53">
          <cell r="C53">
            <v>5946105</v>
          </cell>
          <cell r="F53">
            <v>0</v>
          </cell>
          <cell r="G53">
            <v>-66172</v>
          </cell>
        </row>
        <row r="54">
          <cell r="C54">
            <v>9849107</v>
          </cell>
          <cell r="F54">
            <v>32206</v>
          </cell>
          <cell r="G54">
            <v>0</v>
          </cell>
        </row>
        <row r="55">
          <cell r="C55">
            <v>23742536</v>
          </cell>
          <cell r="F55">
            <v>93433</v>
          </cell>
          <cell r="G55">
            <v>0</v>
          </cell>
        </row>
        <row r="56">
          <cell r="C56">
            <v>58937822</v>
          </cell>
          <cell r="F56">
            <v>0</v>
          </cell>
          <cell r="G56">
            <v>-6983</v>
          </cell>
        </row>
        <row r="57">
          <cell r="C57">
            <v>33560731</v>
          </cell>
          <cell r="F57">
            <v>3494</v>
          </cell>
          <cell r="G57">
            <v>0</v>
          </cell>
        </row>
        <row r="58">
          <cell r="C58">
            <v>35540713</v>
          </cell>
          <cell r="F58">
            <v>0</v>
          </cell>
          <cell r="G58">
            <v>-4</v>
          </cell>
        </row>
        <row r="59">
          <cell r="C59">
            <v>124437830</v>
          </cell>
          <cell r="F59">
            <v>0</v>
          </cell>
          <cell r="G59">
            <v>-55664</v>
          </cell>
        </row>
        <row r="60">
          <cell r="C60">
            <v>66494172</v>
          </cell>
          <cell r="F60">
            <v>0</v>
          </cell>
          <cell r="G60">
            <v>-247135</v>
          </cell>
        </row>
        <row r="61">
          <cell r="C61">
            <v>4248892</v>
          </cell>
          <cell r="F61">
            <v>0</v>
          </cell>
          <cell r="G61">
            <v>0</v>
          </cell>
        </row>
        <row r="62">
          <cell r="C62">
            <v>67192634</v>
          </cell>
          <cell r="F62">
            <v>4563</v>
          </cell>
          <cell r="G62">
            <v>0</v>
          </cell>
        </row>
        <row r="63">
          <cell r="C63">
            <v>12053577</v>
          </cell>
          <cell r="F63">
            <v>0</v>
          </cell>
          <cell r="G63">
            <v>-2330</v>
          </cell>
        </row>
        <row r="64">
          <cell r="C64">
            <v>28161498</v>
          </cell>
          <cell r="F64">
            <v>118672</v>
          </cell>
          <cell r="G64">
            <v>0</v>
          </cell>
        </row>
        <row r="65">
          <cell r="C65">
            <v>39807210</v>
          </cell>
          <cell r="F65">
            <v>69787</v>
          </cell>
          <cell r="G65">
            <v>0</v>
          </cell>
        </row>
        <row r="66">
          <cell r="C66">
            <v>20558296</v>
          </cell>
          <cell r="F66">
            <v>0</v>
          </cell>
          <cell r="G66">
            <v>-4657</v>
          </cell>
        </row>
        <row r="67">
          <cell r="C67">
            <v>26572817</v>
          </cell>
          <cell r="F67">
            <v>0</v>
          </cell>
          <cell r="G67">
            <v>-2198</v>
          </cell>
        </row>
        <row r="68">
          <cell r="C68">
            <v>8997383</v>
          </cell>
          <cell r="F68">
            <v>0</v>
          </cell>
          <cell r="G68">
            <v>-243968</v>
          </cell>
        </row>
        <row r="69">
          <cell r="C69">
            <v>9607257</v>
          </cell>
          <cell r="F69">
            <v>0</v>
          </cell>
          <cell r="G69">
            <v>0</v>
          </cell>
        </row>
        <row r="70">
          <cell r="C70">
            <v>7100687</v>
          </cell>
          <cell r="F70">
            <v>328</v>
          </cell>
          <cell r="G70">
            <v>0</v>
          </cell>
        </row>
        <row r="71">
          <cell r="C71">
            <v>11658245</v>
          </cell>
          <cell r="F71">
            <v>0</v>
          </cell>
          <cell r="G71">
            <v>-2</v>
          </cell>
        </row>
        <row r="72">
          <cell r="C72">
            <v>27163281</v>
          </cell>
          <cell r="F72">
            <v>0</v>
          </cell>
          <cell r="G72">
            <v>-370483</v>
          </cell>
        </row>
        <row r="73">
          <cell r="C73">
            <v>12675429</v>
          </cell>
          <cell r="F73">
            <v>0</v>
          </cell>
          <cell r="G73">
            <v>0</v>
          </cell>
        </row>
      </sheetData>
      <sheetData sheetId="3">
        <row r="9">
          <cell r="C9">
            <v>9582</v>
          </cell>
          <cell r="AN9">
            <v>33360169</v>
          </cell>
        </row>
        <row r="10">
          <cell r="C10">
            <v>4149</v>
          </cell>
          <cell r="AN10">
            <v>16916477</v>
          </cell>
        </row>
        <row r="11">
          <cell r="C11">
            <v>14943</v>
          </cell>
          <cell r="AN11">
            <v>41811673</v>
          </cell>
        </row>
        <row r="12">
          <cell r="C12">
            <v>4408</v>
          </cell>
          <cell r="AN12">
            <v>18829992</v>
          </cell>
        </row>
        <row r="13">
          <cell r="C13">
            <v>6619</v>
          </cell>
          <cell r="AN13">
            <v>24117223</v>
          </cell>
        </row>
        <row r="14">
          <cell r="C14">
            <v>6008</v>
          </cell>
          <cell r="AN14">
            <v>21670437</v>
          </cell>
        </row>
        <row r="15">
          <cell r="C15">
            <v>2491</v>
          </cell>
          <cell r="AN15">
            <v>8177723</v>
          </cell>
        </row>
        <row r="16">
          <cell r="C16">
            <v>18494</v>
          </cell>
          <cell r="AN16">
            <v>56738201</v>
          </cell>
        </row>
        <row r="17">
          <cell r="C17">
            <v>43752</v>
          </cell>
          <cell r="AN17">
            <v>152993464</v>
          </cell>
        </row>
        <row r="18">
          <cell r="C18">
            <v>31472</v>
          </cell>
          <cell r="AN18">
            <v>89159643</v>
          </cell>
        </row>
        <row r="19">
          <cell r="C19">
            <v>1819</v>
          </cell>
          <cell r="AN19">
            <v>7670766</v>
          </cell>
        </row>
        <row r="20">
          <cell r="C20">
            <v>1885</v>
          </cell>
          <cell r="AN20">
            <v>5891627</v>
          </cell>
        </row>
        <row r="21">
          <cell r="C21">
            <v>1813</v>
          </cell>
          <cell r="AN21">
            <v>7722825</v>
          </cell>
        </row>
        <row r="22">
          <cell r="C22">
            <v>2706</v>
          </cell>
          <cell r="AN22">
            <v>11046294</v>
          </cell>
        </row>
        <row r="23">
          <cell r="C23">
            <v>3767</v>
          </cell>
          <cell r="AN23">
            <v>15386174</v>
          </cell>
        </row>
        <row r="24">
          <cell r="C24">
            <v>4816</v>
          </cell>
          <cell r="AN24">
            <v>18470566</v>
          </cell>
        </row>
        <row r="25">
          <cell r="C25">
            <v>51095</v>
          </cell>
          <cell r="AN25">
            <v>102570508</v>
          </cell>
        </row>
        <row r="26">
          <cell r="C26">
            <v>1722</v>
          </cell>
          <cell r="AN26">
            <v>7481658</v>
          </cell>
        </row>
        <row r="27">
          <cell r="C27">
            <v>2473</v>
          </cell>
          <cell r="AN27">
            <v>10054165</v>
          </cell>
        </row>
        <row r="28">
          <cell r="C28">
            <v>6232</v>
          </cell>
          <cell r="AN28">
            <v>23520864</v>
          </cell>
        </row>
        <row r="29">
          <cell r="C29">
            <v>3716</v>
          </cell>
          <cell r="AN29">
            <v>14150088</v>
          </cell>
        </row>
        <row r="30">
          <cell r="C30">
            <v>3594</v>
          </cell>
          <cell r="AN30">
            <v>15606710</v>
          </cell>
        </row>
        <row r="31">
          <cell r="C31">
            <v>14342</v>
          </cell>
          <cell r="AN31">
            <v>53886085</v>
          </cell>
        </row>
        <row r="32">
          <cell r="C32">
            <v>4769</v>
          </cell>
          <cell r="AN32">
            <v>9604191</v>
          </cell>
        </row>
        <row r="33">
          <cell r="C33">
            <v>2522</v>
          </cell>
          <cell r="AN33">
            <v>10517223</v>
          </cell>
        </row>
        <row r="34">
          <cell r="C34">
            <v>50077</v>
          </cell>
          <cell r="AN34">
            <v>94767001</v>
          </cell>
        </row>
        <row r="35">
          <cell r="C35">
            <v>5737</v>
          </cell>
          <cell r="AN35">
            <v>22605241</v>
          </cell>
        </row>
        <row r="36">
          <cell r="C36">
            <v>29094</v>
          </cell>
          <cell r="AN36">
            <v>68943893</v>
          </cell>
        </row>
        <row r="37">
          <cell r="C37">
            <v>15067</v>
          </cell>
          <cell r="AN37">
            <v>52822713</v>
          </cell>
        </row>
        <row r="38">
          <cell r="C38">
            <v>2537</v>
          </cell>
          <cell r="AN38">
            <v>10077194</v>
          </cell>
        </row>
        <row r="39">
          <cell r="C39">
            <v>6596</v>
          </cell>
          <cell r="AN39">
            <v>22713703</v>
          </cell>
        </row>
        <row r="40">
          <cell r="C40">
            <v>19916</v>
          </cell>
          <cell r="AN40">
            <v>77720930</v>
          </cell>
        </row>
        <row r="41">
          <cell r="C41">
            <v>2360</v>
          </cell>
          <cell r="AN41">
            <v>8948626</v>
          </cell>
        </row>
        <row r="42">
          <cell r="C42">
            <v>5134</v>
          </cell>
          <cell r="AN42">
            <v>18881753</v>
          </cell>
        </row>
        <row r="43">
          <cell r="C43">
            <v>6657</v>
          </cell>
          <cell r="AN43">
            <v>23716495</v>
          </cell>
        </row>
        <row r="44">
          <cell r="C44">
            <v>70912</v>
          </cell>
          <cell r="AN44">
            <v>211195928</v>
          </cell>
        </row>
        <row r="45">
          <cell r="C45">
            <v>17620</v>
          </cell>
          <cell r="AN45">
            <v>68933264</v>
          </cell>
        </row>
        <row r="46">
          <cell r="C46">
            <v>4727</v>
          </cell>
          <cell r="AN46">
            <v>3262308</v>
          </cell>
        </row>
        <row r="47">
          <cell r="C47">
            <v>3158</v>
          </cell>
          <cell r="AN47">
            <v>8264527</v>
          </cell>
        </row>
        <row r="48">
          <cell r="C48">
            <v>22520</v>
          </cell>
          <cell r="AN48">
            <v>75823585</v>
          </cell>
        </row>
        <row r="49">
          <cell r="C49">
            <v>1647</v>
          </cell>
          <cell r="AN49">
            <v>8241922</v>
          </cell>
        </row>
        <row r="50">
          <cell r="C50">
            <v>3566</v>
          </cell>
          <cell r="AN50">
            <v>14962907</v>
          </cell>
        </row>
        <row r="51">
          <cell r="C51">
            <v>4158</v>
          </cell>
          <cell r="AN51">
            <v>17012395</v>
          </cell>
        </row>
        <row r="52">
          <cell r="C52">
            <v>8406</v>
          </cell>
          <cell r="AN52">
            <v>28376985</v>
          </cell>
        </row>
        <row r="53">
          <cell r="C53">
            <v>9641</v>
          </cell>
          <cell r="AN53">
            <v>14088540</v>
          </cell>
        </row>
        <row r="54">
          <cell r="C54">
            <v>1333</v>
          </cell>
          <cell r="AN54">
            <v>5717975</v>
          </cell>
        </row>
        <row r="55">
          <cell r="C55">
            <v>3777</v>
          </cell>
          <cell r="AN55">
            <v>7254084</v>
          </cell>
        </row>
        <row r="56">
          <cell r="C56">
            <v>6104</v>
          </cell>
          <cell r="AN56">
            <v>22515238</v>
          </cell>
        </row>
        <row r="57">
          <cell r="C57">
            <v>15331</v>
          </cell>
          <cell r="AN57">
            <v>58536724</v>
          </cell>
        </row>
        <row r="58">
          <cell r="C58">
            <v>8418</v>
          </cell>
          <cell r="AN58">
            <v>32981710</v>
          </cell>
        </row>
        <row r="59">
          <cell r="C59">
            <v>10321</v>
          </cell>
          <cell r="AN59">
            <v>35222181</v>
          </cell>
        </row>
        <row r="60">
          <cell r="C60">
            <v>32844</v>
          </cell>
          <cell r="AN60">
            <v>124001470</v>
          </cell>
        </row>
        <row r="61">
          <cell r="C61">
            <v>17839</v>
          </cell>
          <cell r="AN61">
            <v>64161099</v>
          </cell>
        </row>
        <row r="62">
          <cell r="C62">
            <v>953</v>
          </cell>
          <cell r="AN62">
            <v>4074281</v>
          </cell>
        </row>
        <row r="63">
          <cell r="C63">
            <v>19262</v>
          </cell>
          <cell r="AN63">
            <v>64281178</v>
          </cell>
        </row>
        <row r="64">
          <cell r="C64">
            <v>3487</v>
          </cell>
          <cell r="AN64">
            <v>12375431</v>
          </cell>
        </row>
        <row r="65">
          <cell r="C65">
            <v>8687</v>
          </cell>
          <cell r="AN65">
            <v>26756259</v>
          </cell>
        </row>
        <row r="66">
          <cell r="C66">
            <v>9794</v>
          </cell>
          <cell r="AN66">
            <v>38183807</v>
          </cell>
        </row>
        <row r="67">
          <cell r="C67">
            <v>4496</v>
          </cell>
          <cell r="AN67">
            <v>19990759</v>
          </cell>
        </row>
        <row r="68">
          <cell r="C68">
            <v>7527</v>
          </cell>
          <cell r="AN68">
            <v>26417984</v>
          </cell>
        </row>
        <row r="69">
          <cell r="C69">
            <v>3641</v>
          </cell>
          <cell r="AN69">
            <v>8391488</v>
          </cell>
        </row>
        <row r="70">
          <cell r="C70">
            <v>2481</v>
          </cell>
          <cell r="AN70">
            <v>9588317</v>
          </cell>
        </row>
        <row r="71">
          <cell r="C71">
            <v>2209</v>
          </cell>
          <cell r="AN71">
            <v>1437889</v>
          </cell>
        </row>
        <row r="72">
          <cell r="C72">
            <v>2813</v>
          </cell>
          <cell r="AN72">
            <v>11526879</v>
          </cell>
        </row>
        <row r="73">
          <cell r="C73">
            <v>9546</v>
          </cell>
          <cell r="AN73">
            <v>25618587</v>
          </cell>
        </row>
        <row r="74">
          <cell r="C74">
            <v>3016</v>
          </cell>
          <cell r="AN74">
            <v>12678246</v>
          </cell>
        </row>
      </sheetData>
      <sheetData sheetId="5">
        <row r="9">
          <cell r="F9">
            <v>-941</v>
          </cell>
        </row>
        <row r="11">
          <cell r="F11">
            <v>-552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3MFP"/>
    </sheetNames>
    <sheetDataSet>
      <sheetData sheetId="0">
        <row r="8">
          <cell r="AA8">
            <v>23384176</v>
          </cell>
        </row>
        <row r="9">
          <cell r="AA9">
            <v>11991368</v>
          </cell>
        </row>
        <row r="10">
          <cell r="AA10">
            <v>29563368</v>
          </cell>
        </row>
        <row r="11">
          <cell r="AA11">
            <v>13211944</v>
          </cell>
        </row>
        <row r="12">
          <cell r="AA12">
            <v>16904080</v>
          </cell>
        </row>
        <row r="13">
          <cell r="AA13">
            <v>14780896</v>
          </cell>
        </row>
        <row r="14">
          <cell r="AA14">
            <v>5288160</v>
          </cell>
        </row>
        <row r="15">
          <cell r="AA15">
            <v>41154160</v>
          </cell>
        </row>
        <row r="16">
          <cell r="AA16">
            <v>105451392</v>
          </cell>
        </row>
        <row r="17">
          <cell r="AA17">
            <v>61581880</v>
          </cell>
        </row>
        <row r="18">
          <cell r="AA18">
            <v>5269080</v>
          </cell>
        </row>
        <row r="19">
          <cell r="AA19">
            <v>4180872</v>
          </cell>
        </row>
        <row r="20">
          <cell r="AA20">
            <v>5179968</v>
          </cell>
        </row>
        <row r="21">
          <cell r="AA21">
            <v>8038976</v>
          </cell>
        </row>
        <row r="22">
          <cell r="AA22">
            <v>10594136</v>
          </cell>
        </row>
        <row r="23">
          <cell r="AA23">
            <v>12289944</v>
          </cell>
        </row>
        <row r="24">
          <cell r="AA24">
            <v>95377752</v>
          </cell>
        </row>
        <row r="25">
          <cell r="AA25">
            <v>5134816</v>
          </cell>
        </row>
        <row r="26">
          <cell r="AA26">
            <v>7098232</v>
          </cell>
        </row>
        <row r="27">
          <cell r="AA27">
            <v>16824120</v>
          </cell>
        </row>
        <row r="28">
          <cell r="AA28">
            <v>9746880</v>
          </cell>
        </row>
        <row r="29">
          <cell r="AA29">
            <v>10652360</v>
          </cell>
        </row>
        <row r="30">
          <cell r="AA30">
            <v>37610792</v>
          </cell>
        </row>
        <row r="31">
          <cell r="AA31">
            <v>8575328</v>
          </cell>
        </row>
        <row r="32">
          <cell r="AA32">
            <v>7140688</v>
          </cell>
        </row>
        <row r="33">
          <cell r="AA33">
            <v>87179976</v>
          </cell>
        </row>
        <row r="34">
          <cell r="AA34">
            <v>15679928</v>
          </cell>
        </row>
        <row r="35">
          <cell r="AA35">
            <v>50442512</v>
          </cell>
        </row>
        <row r="36">
          <cell r="AA36">
            <v>37649552</v>
          </cell>
        </row>
        <row r="37">
          <cell r="AA37">
            <v>7115904</v>
          </cell>
        </row>
        <row r="38">
          <cell r="AA38">
            <v>15760568</v>
          </cell>
        </row>
        <row r="39">
          <cell r="AA39">
            <v>54700400</v>
          </cell>
        </row>
        <row r="40">
          <cell r="AA40">
            <v>6264560</v>
          </cell>
        </row>
        <row r="41">
          <cell r="AA41">
            <v>13009344</v>
          </cell>
        </row>
        <row r="42">
          <cell r="AA42">
            <v>16347384</v>
          </cell>
        </row>
        <row r="43">
          <cell r="AA43">
            <v>148699352</v>
          </cell>
        </row>
        <row r="44">
          <cell r="AA44">
            <v>48074888</v>
          </cell>
        </row>
        <row r="45">
          <cell r="AA45">
            <v>7215464</v>
          </cell>
        </row>
        <row r="46">
          <cell r="AA46">
            <v>6217024</v>
          </cell>
        </row>
        <row r="47">
          <cell r="AA47">
            <v>53403952</v>
          </cell>
        </row>
        <row r="48">
          <cell r="AA48">
            <v>5758640</v>
          </cell>
        </row>
        <row r="49">
          <cell r="AA49">
            <v>10088792</v>
          </cell>
        </row>
        <row r="50">
          <cell r="AA50">
            <v>11521376</v>
          </cell>
        </row>
        <row r="51">
          <cell r="AA51">
            <v>19307272</v>
          </cell>
        </row>
        <row r="52">
          <cell r="AA52">
            <v>16101528</v>
          </cell>
        </row>
        <row r="53">
          <cell r="AA53">
            <v>4063848</v>
          </cell>
        </row>
        <row r="54">
          <cell r="AA54">
            <v>6600624</v>
          </cell>
        </row>
        <row r="55">
          <cell r="AA55">
            <v>15971600</v>
          </cell>
        </row>
        <row r="56">
          <cell r="AA56">
            <v>41080872</v>
          </cell>
        </row>
        <row r="57">
          <cell r="AA57">
            <v>23008136</v>
          </cell>
        </row>
        <row r="58">
          <cell r="AA58">
            <v>24142712</v>
          </cell>
        </row>
        <row r="59">
          <cell r="AA59">
            <v>86172552</v>
          </cell>
        </row>
        <row r="60">
          <cell r="AA60">
            <v>45415808</v>
          </cell>
        </row>
        <row r="61">
          <cell r="AA61">
            <v>2788720</v>
          </cell>
        </row>
        <row r="62">
          <cell r="AA62">
            <v>45946200</v>
          </cell>
        </row>
        <row r="63">
          <cell r="AA63">
            <v>8573144</v>
          </cell>
        </row>
        <row r="64">
          <cell r="AA64">
            <v>18995928</v>
          </cell>
        </row>
        <row r="65">
          <cell r="AA65">
            <v>26789272</v>
          </cell>
        </row>
        <row r="66">
          <cell r="AA66">
            <v>14004496</v>
          </cell>
        </row>
        <row r="67">
          <cell r="AA67">
            <v>18067848</v>
          </cell>
        </row>
        <row r="68">
          <cell r="AA68">
            <v>6050632</v>
          </cell>
        </row>
        <row r="69">
          <cell r="AA69">
            <v>6513976</v>
          </cell>
        </row>
        <row r="70">
          <cell r="AA70">
            <v>4967264</v>
          </cell>
        </row>
        <row r="71">
          <cell r="AA71">
            <v>7707952</v>
          </cell>
        </row>
        <row r="72">
          <cell r="AA72">
            <v>19312080</v>
          </cell>
        </row>
        <row r="73">
          <cell r="AA73">
            <v>8949384</v>
          </cell>
        </row>
        <row r="76">
          <cell r="AA76">
            <v>1880440</v>
          </cell>
        </row>
        <row r="77">
          <cell r="AA77">
            <v>1103688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0" zoomScaleNormal="80" workbookViewId="0" topLeftCell="A1">
      <selection activeCell="E47" sqref="E47"/>
    </sheetView>
  </sheetViews>
  <sheetFormatPr defaultColWidth="9.140625" defaultRowHeight="12.75"/>
  <cols>
    <col min="1" max="1" width="5.28125" style="0" customWidth="1"/>
    <col min="2" max="2" width="3.28125" style="0" customWidth="1"/>
    <col min="3" max="3" width="39.7109375" style="0" customWidth="1"/>
    <col min="4" max="4" width="23.28125" style="0" customWidth="1"/>
    <col min="5" max="5" width="19.8515625" style="0" customWidth="1"/>
    <col min="6" max="6" width="18.28125" style="0" customWidth="1"/>
    <col min="7" max="7" width="12.00390625" style="0" customWidth="1"/>
    <col min="8" max="8" width="1.1484375" style="0" customWidth="1"/>
    <col min="9" max="9" width="15.28125" style="0" customWidth="1"/>
    <col min="10" max="10" width="21.7109375" style="0" customWidth="1"/>
  </cols>
  <sheetData>
    <row r="1" spans="1:7" ht="25.5">
      <c r="A1" s="683" t="s">
        <v>649</v>
      </c>
      <c r="B1" s="683"/>
      <c r="C1" s="683"/>
      <c r="D1" s="683"/>
      <c r="E1" s="683"/>
      <c r="F1" s="683"/>
      <c r="G1" s="683"/>
    </row>
    <row r="2" spans="1:7" s="96" customFormat="1" ht="28.5" customHeight="1" thickBot="1">
      <c r="A2" s="689"/>
      <c r="B2" s="689"/>
      <c r="C2" s="689"/>
      <c r="D2" s="689"/>
      <c r="E2" s="689"/>
      <c r="F2" s="689"/>
      <c r="G2" s="689"/>
    </row>
    <row r="3" spans="1:8" ht="24.75" customHeight="1" thickTop="1">
      <c r="A3" s="56"/>
      <c r="B3" s="57"/>
      <c r="C3" s="113"/>
      <c r="D3" s="684" t="s">
        <v>520</v>
      </c>
      <c r="E3" s="684" t="s">
        <v>631</v>
      </c>
      <c r="F3" s="690" t="s">
        <v>584</v>
      </c>
      <c r="G3" s="58"/>
      <c r="H3" s="59"/>
    </row>
    <row r="4" spans="1:8" ht="20.25">
      <c r="A4" s="60"/>
      <c r="B4" s="61"/>
      <c r="C4" s="450"/>
      <c r="D4" s="685"/>
      <c r="E4" s="685"/>
      <c r="F4" s="691"/>
      <c r="G4" s="114" t="s">
        <v>255</v>
      </c>
      <c r="H4" s="62"/>
    </row>
    <row r="5" spans="1:8" ht="15.75">
      <c r="A5" s="60"/>
      <c r="B5" s="61"/>
      <c r="C5" s="115"/>
      <c r="D5" s="685"/>
      <c r="E5" s="685"/>
      <c r="F5" s="691"/>
      <c r="G5" s="114" t="s">
        <v>253</v>
      </c>
      <c r="H5" s="62"/>
    </row>
    <row r="6" spans="1:8" ht="15" customHeight="1" thickBot="1">
      <c r="A6" s="63"/>
      <c r="B6" s="64"/>
      <c r="C6" s="449" t="s">
        <v>254</v>
      </c>
      <c r="D6" s="686"/>
      <c r="E6" s="686"/>
      <c r="F6" s="692"/>
      <c r="G6" s="65"/>
      <c r="H6" s="66"/>
    </row>
    <row r="7" spans="1:10" ht="16.5" thickTop="1">
      <c r="A7" s="67"/>
      <c r="B7" s="68"/>
      <c r="C7" s="448"/>
      <c r="D7" s="70"/>
      <c r="E7" s="70"/>
      <c r="F7" s="70"/>
      <c r="G7" s="70"/>
      <c r="H7" s="71"/>
      <c r="J7">
        <f>3103*1.0275</f>
        <v>3188.3325000000004</v>
      </c>
    </row>
    <row r="8" spans="1:10" ht="32.25" customHeight="1" thickBot="1">
      <c r="A8" s="166" t="s">
        <v>238</v>
      </c>
      <c r="B8" s="167" t="s">
        <v>217</v>
      </c>
      <c r="C8" s="168"/>
      <c r="D8" s="169">
        <v>3188</v>
      </c>
      <c r="E8" s="169">
        <f>'Table 3 Levels 1&amp;2'!V75</f>
        <v>3276</v>
      </c>
      <c r="F8" s="169">
        <f>E8-D8</f>
        <v>88</v>
      </c>
      <c r="G8" s="209">
        <f aca="true" t="shared" si="0" ref="G8:G15">ROUND((E8/D8)-1,4)</f>
        <v>0.0276</v>
      </c>
      <c r="H8" s="197"/>
      <c r="J8">
        <f>+J7-J9</f>
        <v>3183.677603669714</v>
      </c>
    </row>
    <row r="9" spans="1:10" ht="25.5" customHeight="1">
      <c r="A9" s="170" t="s">
        <v>239</v>
      </c>
      <c r="B9" s="171" t="s">
        <v>419</v>
      </c>
      <c r="C9" s="172"/>
      <c r="D9" s="173">
        <f>SUM(D10:D15)</f>
        <v>970072</v>
      </c>
      <c r="E9" s="173">
        <f>SUM(E10:E15)</f>
        <v>966724</v>
      </c>
      <c r="F9" s="174">
        <f>E9-D9</f>
        <v>-3348</v>
      </c>
      <c r="G9" s="210">
        <f t="shared" si="0"/>
        <v>-0.0035</v>
      </c>
      <c r="H9" s="77"/>
      <c r="J9">
        <f>4500000/E9</f>
        <v>4.6548963302866175</v>
      </c>
    </row>
    <row r="10" spans="1:10" ht="18.75" customHeight="1">
      <c r="A10" s="75"/>
      <c r="B10" s="78" t="s">
        <v>218</v>
      </c>
      <c r="C10" s="76" t="s">
        <v>219</v>
      </c>
      <c r="D10" s="79">
        <v>714020</v>
      </c>
      <c r="E10" s="79">
        <f>'Table 3 Levels 1&amp;2'!C75</f>
        <v>708238</v>
      </c>
      <c r="F10" s="140">
        <f aca="true" t="shared" si="1" ref="F10:F15">E10-D10</f>
        <v>-5782</v>
      </c>
      <c r="G10" s="211">
        <f t="shared" si="0"/>
        <v>-0.0081</v>
      </c>
      <c r="H10" s="80"/>
      <c r="J10">
        <f>J9*1.65</f>
        <v>7.680578944972918</v>
      </c>
    </row>
    <row r="11" spans="1:10" ht="18.75" customHeight="1">
      <c r="A11" s="75"/>
      <c r="B11" s="78" t="s">
        <v>220</v>
      </c>
      <c r="C11" s="76" t="s">
        <v>221</v>
      </c>
      <c r="D11" s="79">
        <v>71556</v>
      </c>
      <c r="E11" s="79">
        <f>'Table 3 Levels 1&amp;2'!F75</f>
        <v>72546</v>
      </c>
      <c r="F11" s="140">
        <f t="shared" si="1"/>
        <v>990</v>
      </c>
      <c r="G11" s="211">
        <f t="shared" si="0"/>
        <v>0.0138</v>
      </c>
      <c r="H11" s="80"/>
      <c r="J11">
        <f>+J7-J10</f>
        <v>3180.6519210550277</v>
      </c>
    </row>
    <row r="12" spans="1:8" ht="18.75" customHeight="1">
      <c r="A12" s="75"/>
      <c r="B12" s="78" t="s">
        <v>222</v>
      </c>
      <c r="C12" s="76" t="s">
        <v>223</v>
      </c>
      <c r="D12" s="79">
        <v>8793</v>
      </c>
      <c r="E12" s="79">
        <f>'Table 3 Levels 1&amp;2'!I75</f>
        <v>8578</v>
      </c>
      <c r="F12" s="140">
        <f t="shared" si="1"/>
        <v>-215</v>
      </c>
      <c r="G12" s="211">
        <f t="shared" si="0"/>
        <v>-0.0245</v>
      </c>
      <c r="H12" s="80"/>
    </row>
    <row r="13" spans="1:8" ht="18.75" customHeight="1">
      <c r="A13" s="75"/>
      <c r="B13" s="78" t="s">
        <v>224</v>
      </c>
      <c r="C13" s="76" t="s">
        <v>225</v>
      </c>
      <c r="D13" s="79">
        <v>147705</v>
      </c>
      <c r="E13" s="79">
        <f>'Table 3 Levels 1&amp;2'!L75</f>
        <v>149614</v>
      </c>
      <c r="F13" s="140">
        <f t="shared" si="1"/>
        <v>1909</v>
      </c>
      <c r="G13" s="211">
        <f t="shared" si="0"/>
        <v>0.0129</v>
      </c>
      <c r="H13" s="80"/>
    </row>
    <row r="14" spans="1:8" ht="18.75" customHeight="1">
      <c r="A14" s="75"/>
      <c r="B14" s="78" t="s">
        <v>226</v>
      </c>
      <c r="C14" s="76" t="s">
        <v>227</v>
      </c>
      <c r="D14" s="79">
        <v>15672</v>
      </c>
      <c r="E14" s="79">
        <f>'Table 3 Levels 1&amp;2'!O75</f>
        <v>15446</v>
      </c>
      <c r="F14" s="140">
        <f t="shared" si="1"/>
        <v>-226</v>
      </c>
      <c r="G14" s="211">
        <f t="shared" si="0"/>
        <v>-0.0144</v>
      </c>
      <c r="H14" s="80"/>
    </row>
    <row r="15" spans="1:8" ht="18.75" customHeight="1">
      <c r="A15" s="75"/>
      <c r="B15" s="81" t="s">
        <v>228</v>
      </c>
      <c r="C15" s="69" t="s">
        <v>256</v>
      </c>
      <c r="D15" s="82">
        <v>12326</v>
      </c>
      <c r="E15" s="82">
        <f>'Table 3 Levels 1&amp;2'!S75</f>
        <v>12302</v>
      </c>
      <c r="F15" s="141">
        <f t="shared" si="1"/>
        <v>-24</v>
      </c>
      <c r="G15" s="212">
        <f t="shared" si="0"/>
        <v>-0.0019</v>
      </c>
      <c r="H15" s="83"/>
    </row>
    <row r="16" spans="1:8" ht="16.5" thickBot="1">
      <c r="A16" s="175"/>
      <c r="B16" s="176"/>
      <c r="C16" s="177" t="s">
        <v>229</v>
      </c>
      <c r="D16" s="178"/>
      <c r="E16" s="178"/>
      <c r="F16" s="178"/>
      <c r="G16" s="213"/>
      <c r="H16" s="194"/>
    </row>
    <row r="17" spans="1:8" ht="30.75" customHeight="1">
      <c r="A17" s="75" t="s">
        <v>240</v>
      </c>
      <c r="B17" s="73" t="s">
        <v>230</v>
      </c>
      <c r="C17" s="85"/>
      <c r="D17" s="74">
        <v>3092589536</v>
      </c>
      <c r="E17" s="74">
        <f>'Table 3 Levels 1&amp;2'!W75</f>
        <v>3166987824</v>
      </c>
      <c r="F17" s="74">
        <f aca="true" t="shared" si="2" ref="F17:F30">E17-D17</f>
        <v>74398288</v>
      </c>
      <c r="G17" s="211">
        <f aca="true" t="shared" si="3" ref="G17:G30">ROUND((E17/D17)-1,4)</f>
        <v>0.0241</v>
      </c>
      <c r="H17" s="77"/>
    </row>
    <row r="18" spans="1:8" ht="18.75" customHeight="1">
      <c r="A18" s="75"/>
      <c r="B18" s="345" t="s">
        <v>218</v>
      </c>
      <c r="C18" s="346" t="s">
        <v>231</v>
      </c>
      <c r="D18" s="347">
        <v>2010179944</v>
      </c>
      <c r="E18" s="347">
        <f>'Table 3 Levels 1&amp;2'!AC75</f>
        <v>2058540767</v>
      </c>
      <c r="F18" s="347">
        <f t="shared" si="2"/>
        <v>48360823</v>
      </c>
      <c r="G18" s="349">
        <f t="shared" si="3"/>
        <v>0.0241</v>
      </c>
      <c r="H18" s="80"/>
    </row>
    <row r="19" spans="1:8" ht="18.75" customHeight="1" thickBot="1">
      <c r="A19" s="175"/>
      <c r="B19" s="179" t="s">
        <v>220</v>
      </c>
      <c r="C19" s="180" t="s">
        <v>232</v>
      </c>
      <c r="D19" s="181">
        <v>1082409592</v>
      </c>
      <c r="E19" s="181">
        <f>'Table 3 Levels 1&amp;2'!AA75</f>
        <v>1108447057</v>
      </c>
      <c r="F19" s="181">
        <f t="shared" si="2"/>
        <v>26037465</v>
      </c>
      <c r="G19" s="213">
        <f t="shared" si="3"/>
        <v>0.0241</v>
      </c>
      <c r="H19" s="195"/>
    </row>
    <row r="20" spans="1:8" ht="29.25" customHeight="1">
      <c r="A20" s="492" t="s">
        <v>241</v>
      </c>
      <c r="B20" s="73" t="s">
        <v>257</v>
      </c>
      <c r="C20" s="293"/>
      <c r="D20" s="74">
        <v>1781860271</v>
      </c>
      <c r="E20" s="74">
        <f>'Table 7 Local Revenue'!AL74</f>
        <v>1879935205</v>
      </c>
      <c r="F20" s="74">
        <f t="shared" si="2"/>
        <v>98074934</v>
      </c>
      <c r="G20" s="211">
        <f t="shared" si="3"/>
        <v>0.055</v>
      </c>
      <c r="H20" s="77"/>
    </row>
    <row r="21" spans="1:8" ht="18.75" customHeight="1">
      <c r="A21" s="72"/>
      <c r="B21" s="86" t="s">
        <v>218</v>
      </c>
      <c r="C21" s="73" t="s">
        <v>258</v>
      </c>
      <c r="D21" s="74">
        <v>17014342971</v>
      </c>
      <c r="E21" s="74">
        <f>'Table 7 Local Revenue'!F74</f>
        <v>17937540953</v>
      </c>
      <c r="F21" s="74">
        <f t="shared" si="2"/>
        <v>923197982</v>
      </c>
      <c r="G21" s="211">
        <f t="shared" si="3"/>
        <v>0.0543</v>
      </c>
      <c r="H21" s="77"/>
    </row>
    <row r="22" spans="1:8" ht="18.75" customHeight="1">
      <c r="A22" s="72"/>
      <c r="B22" s="86" t="s">
        <v>220</v>
      </c>
      <c r="C22" s="73" t="s">
        <v>259</v>
      </c>
      <c r="D22" s="74">
        <v>57659777019</v>
      </c>
      <c r="E22" s="74">
        <f>'Table 7 Local Revenue'!AH74</f>
        <v>59435698887</v>
      </c>
      <c r="F22" s="74">
        <f t="shared" si="2"/>
        <v>1775921868</v>
      </c>
      <c r="G22" s="211">
        <f t="shared" si="3"/>
        <v>0.0308</v>
      </c>
      <c r="H22" s="77"/>
    </row>
    <row r="23" spans="1:8" ht="15.75">
      <c r="A23" s="72"/>
      <c r="B23" s="86" t="s">
        <v>222</v>
      </c>
      <c r="C23" s="73" t="s">
        <v>260</v>
      </c>
      <c r="D23" s="88">
        <v>40.82</v>
      </c>
      <c r="E23" s="88">
        <f>'Table 7 Local Revenue'!AB74</f>
        <v>40.820964530120676</v>
      </c>
      <c r="F23" s="88">
        <f t="shared" si="2"/>
        <v>0.0009645301206759882</v>
      </c>
      <c r="G23" s="211">
        <f t="shared" si="3"/>
        <v>0</v>
      </c>
      <c r="H23" s="77"/>
    </row>
    <row r="24" spans="1:8" ht="15.75">
      <c r="A24" s="72"/>
      <c r="B24" s="86" t="s">
        <v>224</v>
      </c>
      <c r="C24" s="73" t="s">
        <v>261</v>
      </c>
      <c r="D24" s="87">
        <v>0.0182</v>
      </c>
      <c r="E24" s="87">
        <f>'Table 7 Local Revenue'!AD74</f>
        <v>0.0187</v>
      </c>
      <c r="F24" s="87">
        <f t="shared" si="2"/>
        <v>0.0005000000000000004</v>
      </c>
      <c r="G24" s="211">
        <f t="shared" si="3"/>
        <v>0.0275</v>
      </c>
      <c r="H24" s="77"/>
    </row>
    <row r="25" spans="1:8" ht="18.75" customHeight="1">
      <c r="A25" s="72"/>
      <c r="B25" s="86" t="s">
        <v>226</v>
      </c>
      <c r="C25" s="73" t="s">
        <v>262</v>
      </c>
      <c r="D25" s="74">
        <v>694534460</v>
      </c>
      <c r="E25" s="74">
        <f>'Table 7 Local Revenue'!AC74</f>
        <v>732227723</v>
      </c>
      <c r="F25" s="74">
        <f t="shared" si="2"/>
        <v>37693263</v>
      </c>
      <c r="G25" s="211">
        <f t="shared" si="3"/>
        <v>0.0543</v>
      </c>
      <c r="H25" s="77"/>
    </row>
    <row r="26" spans="1:8" ht="18.75" customHeight="1">
      <c r="A26" s="72"/>
      <c r="B26" s="86" t="s">
        <v>228</v>
      </c>
      <c r="C26" s="73" t="s">
        <v>263</v>
      </c>
      <c r="D26" s="74">
        <v>1049414065</v>
      </c>
      <c r="E26" s="74">
        <f>'Table 7 Local Revenue'!AG74</f>
        <v>1111759929</v>
      </c>
      <c r="F26" s="74">
        <f t="shared" si="2"/>
        <v>62345864</v>
      </c>
      <c r="G26" s="211">
        <f t="shared" si="3"/>
        <v>0.0594</v>
      </c>
      <c r="H26" s="77"/>
    </row>
    <row r="27" spans="1:8" ht="18.75" customHeight="1" thickBot="1">
      <c r="A27" s="182"/>
      <c r="B27" s="183" t="s">
        <v>264</v>
      </c>
      <c r="C27" s="184" t="s">
        <v>265</v>
      </c>
      <c r="D27" s="185">
        <v>37911746</v>
      </c>
      <c r="E27" s="185">
        <f>'Table 7 Local Revenue'!AK74</f>
        <v>35947553</v>
      </c>
      <c r="F27" s="185">
        <f t="shared" si="2"/>
        <v>-1964193</v>
      </c>
      <c r="G27" s="214">
        <f t="shared" si="3"/>
        <v>-0.0518</v>
      </c>
      <c r="H27" s="195"/>
    </row>
    <row r="28" spans="1:8" ht="30" customHeight="1">
      <c r="A28" s="75" t="s">
        <v>242</v>
      </c>
      <c r="B28" s="84" t="s">
        <v>233</v>
      </c>
      <c r="C28" s="73"/>
      <c r="D28" s="74">
        <v>652331794</v>
      </c>
      <c r="E28" s="74">
        <f>'Table 3 Levels 1&amp;2'!AI75</f>
        <v>706590687.5</v>
      </c>
      <c r="F28" s="74">
        <f t="shared" si="2"/>
        <v>54258893.5</v>
      </c>
      <c r="G28" s="211">
        <f t="shared" si="3"/>
        <v>0.0832</v>
      </c>
      <c r="H28" s="80"/>
    </row>
    <row r="29" spans="1:8" ht="18.75" customHeight="1">
      <c r="A29" s="72"/>
      <c r="B29" s="345" t="s">
        <v>218</v>
      </c>
      <c r="C29" s="350" t="s">
        <v>266</v>
      </c>
      <c r="D29" s="347">
        <v>239307812</v>
      </c>
      <c r="E29" s="347">
        <f>'Table 3 Levels 1&amp;2'!AJ75</f>
        <v>259015251</v>
      </c>
      <c r="F29" s="347">
        <f t="shared" si="2"/>
        <v>19707439</v>
      </c>
      <c r="G29" s="349">
        <f t="shared" si="3"/>
        <v>0.0824</v>
      </c>
      <c r="H29" s="80"/>
    </row>
    <row r="30" spans="1:8" ht="18.75" customHeight="1" thickBot="1">
      <c r="A30" s="182"/>
      <c r="B30" s="183" t="s">
        <v>220</v>
      </c>
      <c r="C30" s="317" t="s">
        <v>267</v>
      </c>
      <c r="D30" s="185">
        <v>175359940</v>
      </c>
      <c r="E30" s="185">
        <f>'Table 3 Levels 1&amp;2'!AL75</f>
        <v>165618401</v>
      </c>
      <c r="F30" s="320">
        <f t="shared" si="2"/>
        <v>-9741539</v>
      </c>
      <c r="G30" s="214">
        <f t="shared" si="3"/>
        <v>-0.0556</v>
      </c>
      <c r="H30" s="193"/>
    </row>
    <row r="31" spans="1:10" ht="31.5" customHeight="1" thickBot="1">
      <c r="A31" s="403" t="s">
        <v>464</v>
      </c>
      <c r="B31" s="351" t="s">
        <v>454</v>
      </c>
      <c r="C31" s="352"/>
      <c r="D31" s="353">
        <f>D18+D29</f>
        <v>2249487756</v>
      </c>
      <c r="E31" s="353">
        <f>E18+E29</f>
        <v>2317556018</v>
      </c>
      <c r="F31" s="353">
        <f aca="true" t="shared" si="4" ref="F31:F36">E31-D31</f>
        <v>68068262</v>
      </c>
      <c r="G31" s="354">
        <f aca="true" t="shared" si="5" ref="G31:G36">ROUND((E31/D31)-1,4)</f>
        <v>0.0303</v>
      </c>
      <c r="H31" s="194"/>
      <c r="J31" s="223"/>
    </row>
    <row r="32" spans="1:10" ht="41.25" customHeight="1">
      <c r="A32" s="491" t="s">
        <v>243</v>
      </c>
      <c r="B32" s="687" t="s">
        <v>449</v>
      </c>
      <c r="C32" s="688"/>
      <c r="D32" s="355">
        <f>SUM(D33:D36)</f>
        <v>140551715</v>
      </c>
      <c r="E32" s="355">
        <f>SUM(E33:E36)</f>
        <v>150009566.5</v>
      </c>
      <c r="F32" s="355">
        <f t="shared" si="4"/>
        <v>9457851.5</v>
      </c>
      <c r="G32" s="356">
        <f t="shared" si="5"/>
        <v>0.0673</v>
      </c>
      <c r="H32" s="218"/>
      <c r="I32" s="223"/>
      <c r="J32" s="223"/>
    </row>
    <row r="33" spans="1:9" ht="18" customHeight="1">
      <c r="A33" s="318"/>
      <c r="B33" s="360" t="s">
        <v>218</v>
      </c>
      <c r="C33" s="319" t="s">
        <v>416</v>
      </c>
      <c r="D33" s="321">
        <v>62042112</v>
      </c>
      <c r="E33" s="321">
        <f>+'Table 4 Level 3'!R73</f>
        <v>61144671</v>
      </c>
      <c r="F33" s="321">
        <f t="shared" si="4"/>
        <v>-897441</v>
      </c>
      <c r="G33" s="221">
        <f t="shared" si="5"/>
        <v>-0.0145</v>
      </c>
      <c r="H33" s="83"/>
      <c r="I33" s="232"/>
    </row>
    <row r="34" spans="1:9" ht="18" customHeight="1">
      <c r="A34" s="318"/>
      <c r="B34" s="360" t="s">
        <v>220</v>
      </c>
      <c r="C34" s="319" t="s">
        <v>448</v>
      </c>
      <c r="D34" s="321">
        <v>-11245602</v>
      </c>
      <c r="E34" s="321">
        <v>0</v>
      </c>
      <c r="F34" s="321">
        <f t="shared" si="4"/>
        <v>11245602</v>
      </c>
      <c r="G34" s="221">
        <f t="shared" si="5"/>
        <v>-1</v>
      </c>
      <c r="H34" s="83"/>
      <c r="I34" s="304"/>
    </row>
    <row r="35" spans="1:9" ht="18" customHeight="1">
      <c r="A35" s="318"/>
      <c r="B35" s="360">
        <v>3</v>
      </c>
      <c r="C35" s="319" t="s">
        <v>444</v>
      </c>
      <c r="D35" s="321">
        <v>4244400</v>
      </c>
      <c r="E35" s="321">
        <f>'Table 4 Level 3'!T73</f>
        <v>4244399.5</v>
      </c>
      <c r="F35" s="321">
        <f t="shared" si="4"/>
        <v>-0.5</v>
      </c>
      <c r="G35" s="221">
        <f t="shared" si="5"/>
        <v>0</v>
      </c>
      <c r="H35" s="83"/>
      <c r="I35" s="304"/>
    </row>
    <row r="36" spans="1:9" ht="18.75" customHeight="1" thickBot="1">
      <c r="A36" s="318"/>
      <c r="B36" s="360">
        <v>4</v>
      </c>
      <c r="C36" s="319" t="s">
        <v>417</v>
      </c>
      <c r="D36" s="181">
        <v>85510805</v>
      </c>
      <c r="E36" s="358">
        <f>'Table 4 Level 3'!X73</f>
        <v>84620496</v>
      </c>
      <c r="F36" s="359">
        <f t="shared" si="4"/>
        <v>-890309</v>
      </c>
      <c r="G36" s="222">
        <f t="shared" si="5"/>
        <v>-0.0104</v>
      </c>
      <c r="H36" s="219"/>
      <c r="I36" s="232"/>
    </row>
    <row r="37" spans="1:10" ht="28.5" customHeight="1" thickTop="1">
      <c r="A37" s="394" t="s">
        <v>244</v>
      </c>
      <c r="B37" s="363" t="s">
        <v>234</v>
      </c>
      <c r="C37" s="364"/>
      <c r="D37" s="365"/>
      <c r="E37" s="365"/>
      <c r="F37" s="366"/>
      <c r="G37" s="367"/>
      <c r="H37" s="207"/>
      <c r="I37" s="304"/>
      <c r="J37" s="224"/>
    </row>
    <row r="38" spans="1:10" ht="15.75">
      <c r="A38" s="404"/>
      <c r="B38" s="405" t="s">
        <v>408</v>
      </c>
      <c r="C38" s="406"/>
      <c r="D38" s="407">
        <f>SUM(D31:D32)</f>
        <v>2390039471</v>
      </c>
      <c r="E38" s="407">
        <f>SUM(E31:E32)</f>
        <v>2467565584.5</v>
      </c>
      <c r="F38" s="407">
        <f aca="true" t="shared" si="6" ref="F38:F49">E38-D38</f>
        <v>77526113.5</v>
      </c>
      <c r="G38" s="410">
        <f aca="true" t="shared" si="7" ref="G38:G43">ROUND((E38/D38)-1,4)</f>
        <v>0.0324</v>
      </c>
      <c r="H38" s="408"/>
      <c r="I38" s="304"/>
      <c r="J38" s="232"/>
    </row>
    <row r="39" spans="1:10" ht="16.5" thickBot="1">
      <c r="A39" s="395"/>
      <c r="B39" s="368"/>
      <c r="C39" s="369" t="s">
        <v>517</v>
      </c>
      <c r="D39" s="370">
        <v>3347</v>
      </c>
      <c r="E39" s="370">
        <f>'Table 3 Levels 1&amp;2'!AT75</f>
        <v>3484.09</v>
      </c>
      <c r="F39" s="370">
        <f t="shared" si="6"/>
        <v>137.09000000000015</v>
      </c>
      <c r="G39" s="409">
        <f t="shared" si="7"/>
        <v>0.041</v>
      </c>
      <c r="H39" s="208"/>
      <c r="I39" s="304"/>
      <c r="J39" s="232"/>
    </row>
    <row r="40" spans="1:10" ht="27" customHeight="1">
      <c r="A40" s="489" t="s">
        <v>245</v>
      </c>
      <c r="B40" s="490" t="s">
        <v>521</v>
      </c>
      <c r="C40" s="346"/>
      <c r="D40" s="347">
        <f>D42+D41</f>
        <v>4307975</v>
      </c>
      <c r="E40" s="347">
        <f>E42+E41</f>
        <v>4449068</v>
      </c>
      <c r="F40" s="347">
        <f t="shared" si="6"/>
        <v>141093</v>
      </c>
      <c r="G40" s="349">
        <f t="shared" si="7"/>
        <v>0.0328</v>
      </c>
      <c r="H40" s="89"/>
      <c r="I40" s="232"/>
      <c r="J40" s="232"/>
    </row>
    <row r="41" spans="1:8" ht="15.75">
      <c r="A41" s="91"/>
      <c r="B41" s="361" t="s">
        <v>218</v>
      </c>
      <c r="C41" s="73" t="s">
        <v>273</v>
      </c>
      <c r="D41" s="74">
        <v>2714660</v>
      </c>
      <c r="E41" s="74">
        <f>'Table 5 Lab Schools'!D9</f>
        <v>2902172</v>
      </c>
      <c r="F41" s="74">
        <f t="shared" si="6"/>
        <v>187512</v>
      </c>
      <c r="G41" s="211">
        <f t="shared" si="7"/>
        <v>0.0691</v>
      </c>
      <c r="H41" s="80"/>
    </row>
    <row r="42" spans="1:8" ht="16.5" thickBot="1">
      <c r="A42" s="189"/>
      <c r="B42" s="362" t="s">
        <v>220</v>
      </c>
      <c r="C42" s="180" t="s">
        <v>274</v>
      </c>
      <c r="D42" s="181">
        <v>1593315</v>
      </c>
      <c r="E42" s="181">
        <f>'Table 5 Lab Schools'!D11</f>
        <v>1546896</v>
      </c>
      <c r="F42" s="181">
        <f t="shared" si="6"/>
        <v>-46419</v>
      </c>
      <c r="G42" s="213">
        <f t="shared" si="7"/>
        <v>-0.0291</v>
      </c>
      <c r="H42" s="195"/>
    </row>
    <row r="43" spans="1:10" ht="36" customHeight="1" thickBot="1">
      <c r="A43" s="396" t="s">
        <v>246</v>
      </c>
      <c r="B43" s="397" t="s">
        <v>465</v>
      </c>
      <c r="C43" s="374"/>
      <c r="D43" s="371">
        <f>D38+D40</f>
        <v>2394347446</v>
      </c>
      <c r="E43" s="371">
        <f>E38+E40</f>
        <v>2472014652.5</v>
      </c>
      <c r="F43" s="371">
        <f t="shared" si="6"/>
        <v>77667206.5</v>
      </c>
      <c r="G43" s="372">
        <f t="shared" si="7"/>
        <v>0.0324</v>
      </c>
      <c r="H43" s="206"/>
      <c r="J43" s="229"/>
    </row>
    <row r="44" spans="1:8" ht="28.5" customHeight="1">
      <c r="A44" s="402" t="s">
        <v>247</v>
      </c>
      <c r="B44" s="357" t="s">
        <v>513</v>
      </c>
      <c r="C44" s="346"/>
      <c r="D44" s="347">
        <f>+D45+D46</f>
        <v>-6373191</v>
      </c>
      <c r="E44" s="347" t="e">
        <f>+E45+E46</f>
        <v>#REF!</v>
      </c>
      <c r="F44" s="347" t="e">
        <f t="shared" si="6"/>
        <v>#REF!</v>
      </c>
      <c r="G44" s="348"/>
      <c r="H44" s="80"/>
    </row>
    <row r="45" spans="1:10" ht="15.75">
      <c r="A45" s="90"/>
      <c r="B45" s="86" t="s">
        <v>218</v>
      </c>
      <c r="C45" s="73" t="s">
        <v>235</v>
      </c>
      <c r="D45" s="74">
        <v>-6373191</v>
      </c>
      <c r="E45" s="74" t="e">
        <f>'Table 2 Distribution &amp; Adjusts'!#REF!+'Table 5 Lab Schools'!F27</f>
        <v>#REF!</v>
      </c>
      <c r="F45" s="74" t="e">
        <f>E45-D45</f>
        <v>#REF!</v>
      </c>
      <c r="G45" s="211" t="e">
        <f>ROUND((E45/D45)-1,4)</f>
        <v>#REF!</v>
      </c>
      <c r="H45" s="77"/>
      <c r="J45" s="232"/>
    </row>
    <row r="46" spans="1:10" ht="16.5" thickBot="1">
      <c r="A46" s="182"/>
      <c r="B46" s="183" t="s">
        <v>220</v>
      </c>
      <c r="C46" s="184" t="s">
        <v>268</v>
      </c>
      <c r="D46" s="185">
        <v>0</v>
      </c>
      <c r="E46" s="185">
        <v>0</v>
      </c>
      <c r="F46" s="185">
        <f t="shared" si="6"/>
        <v>0</v>
      </c>
      <c r="G46" s="214" t="e">
        <f>ROUND((E46/D46)-1,4)</f>
        <v>#DIV/0!</v>
      </c>
      <c r="H46" s="195"/>
      <c r="J46" s="223"/>
    </row>
    <row r="47" spans="1:10" ht="30" customHeight="1">
      <c r="A47" s="398" t="s">
        <v>248</v>
      </c>
      <c r="B47" s="399" t="s">
        <v>466</v>
      </c>
      <c r="C47" s="400"/>
      <c r="D47" s="415">
        <f>D43+D45+D46</f>
        <v>2387974255</v>
      </c>
      <c r="E47" s="415" t="e">
        <f>E43+E45+E46</f>
        <v>#REF!</v>
      </c>
      <c r="F47" s="415" t="e">
        <f t="shared" si="6"/>
        <v>#REF!</v>
      </c>
      <c r="G47" s="416" t="e">
        <f>ROUND((E47/D47)-1,4)</f>
        <v>#REF!</v>
      </c>
      <c r="H47" s="417"/>
      <c r="J47" s="223"/>
    </row>
    <row r="48" spans="1:10" ht="16.5" thickBot="1">
      <c r="A48" s="186"/>
      <c r="B48" s="187" t="s">
        <v>218</v>
      </c>
      <c r="C48" s="190" t="s">
        <v>269</v>
      </c>
      <c r="D48" s="188">
        <v>107987655</v>
      </c>
      <c r="E48" s="188" t="e">
        <f>E47-D47</f>
        <v>#REF!</v>
      </c>
      <c r="F48" s="188" t="e">
        <f t="shared" si="6"/>
        <v>#REF!</v>
      </c>
      <c r="G48" s="214" t="e">
        <f>ROUND((E48/D48)-1,4)</f>
        <v>#REF!</v>
      </c>
      <c r="H48" s="193"/>
      <c r="J48" s="223"/>
    </row>
    <row r="49" spans="1:10" ht="33" customHeight="1" thickBot="1">
      <c r="A49" s="396" t="s">
        <v>249</v>
      </c>
      <c r="B49" s="373" t="s">
        <v>236</v>
      </c>
      <c r="C49" s="374"/>
      <c r="D49" s="371">
        <f>2243837611+71611499+96800000-1300650-12858610+1685016</f>
        <v>2399774866</v>
      </c>
      <c r="E49" s="371">
        <v>2442908849</v>
      </c>
      <c r="F49" s="371">
        <f t="shared" si="6"/>
        <v>43133983</v>
      </c>
      <c r="G49" s="375">
        <f>ROUND((E49/D49)-1,4)</f>
        <v>0.018</v>
      </c>
      <c r="H49" s="205"/>
      <c r="J49" s="223"/>
    </row>
    <row r="50" spans="1:8" ht="31.5" customHeight="1">
      <c r="A50" s="401" t="s">
        <v>250</v>
      </c>
      <c r="B50" s="191" t="s">
        <v>237</v>
      </c>
      <c r="C50" s="192"/>
      <c r="D50" s="108"/>
      <c r="E50" s="108"/>
      <c r="F50" s="108"/>
      <c r="G50" s="215"/>
      <c r="H50" s="196"/>
    </row>
    <row r="51" spans="1:10" ht="16.5" thickBot="1">
      <c r="A51" s="109"/>
      <c r="B51" s="523" t="s">
        <v>539</v>
      </c>
      <c r="C51" s="110"/>
      <c r="D51" s="111">
        <f>+D47-D49</f>
        <v>-11800611</v>
      </c>
      <c r="E51" s="111" t="e">
        <f>+E47-E49</f>
        <v>#REF!</v>
      </c>
      <c r="F51" s="111" t="e">
        <f>E51-D51</f>
        <v>#REF!</v>
      </c>
      <c r="G51" s="216" t="e">
        <f>ROUND((F51/E51)-1,4)</f>
        <v>#REF!</v>
      </c>
      <c r="H51" s="92"/>
      <c r="J51" s="223"/>
    </row>
    <row r="52" ht="13.5" thickTop="1"/>
    <row r="53" spans="3:10" ht="12.75">
      <c r="C53" s="682"/>
      <c r="D53" s="682"/>
      <c r="E53" s="676"/>
      <c r="J53" s="223"/>
    </row>
    <row r="54" spans="3:5" ht="12.75">
      <c r="C54" s="223"/>
      <c r="D54" s="158"/>
      <c r="E54" s="223"/>
    </row>
    <row r="55" spans="3:10" ht="12.75">
      <c r="C55" s="223"/>
      <c r="D55" s="289"/>
      <c r="E55" s="232"/>
      <c r="J55" s="226"/>
    </row>
    <row r="56" spans="3:10" ht="15.75">
      <c r="C56" s="223"/>
      <c r="D56" s="159"/>
      <c r="J56" s="226"/>
    </row>
    <row r="57" spans="4:5" ht="12.75">
      <c r="D57" s="230"/>
      <c r="E57" s="223"/>
    </row>
    <row r="59" spans="4:5" ht="12.75">
      <c r="D59" s="231"/>
      <c r="E59" s="223"/>
    </row>
  </sheetData>
  <mergeCells count="7">
    <mergeCell ref="C53:D53"/>
    <mergeCell ref="A1:G1"/>
    <mergeCell ref="E3:E6"/>
    <mergeCell ref="B32:C32"/>
    <mergeCell ref="D3:D6"/>
    <mergeCell ref="A2:G2"/>
    <mergeCell ref="F3:F6"/>
  </mergeCells>
  <printOptions horizontalCentered="1"/>
  <pageMargins left="0.25" right="0.15" top="0.51" bottom="0.56" header="0" footer="0.26"/>
  <pageSetup firstPageNumber="1" useFirstPageNumber="1" horizontalDpi="600" verticalDpi="600" orientation="portrait" paperSize="5" scale="82" r:id="rId1"/>
  <headerFooter alignWithMargins="0">
    <oddFooter xml:space="preserve">&amp;L&amp;F\ &amp;A,&amp;D,&amp;T&amp;R&amp;P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zoomScale="85" zoomScaleNormal="85" workbookViewId="0" topLeftCell="A67">
      <selection activeCell="I81" sqref="I81"/>
    </sheetView>
  </sheetViews>
  <sheetFormatPr defaultColWidth="12.57421875" defaultRowHeight="12.75"/>
  <cols>
    <col min="1" max="1" width="3.00390625" style="2" customWidth="1"/>
    <col min="2" max="2" width="19.28125" style="2" bestFit="1" customWidth="1"/>
    <col min="3" max="3" width="14.28125" style="2" bestFit="1" customWidth="1"/>
    <col min="4" max="4" width="14.7109375" style="2" customWidth="1"/>
    <col min="5" max="5" width="13.28125" style="2" customWidth="1"/>
    <col min="6" max="6" width="15.28125" style="2" customWidth="1"/>
    <col min="7" max="7" width="15.421875" style="2" hidden="1" customWidth="1"/>
    <col min="8" max="8" width="20.57421875" style="2" hidden="1" customWidth="1"/>
    <col min="9" max="9" width="16.421875" style="2" customWidth="1"/>
    <col min="10" max="10" width="15.28125" style="2" customWidth="1"/>
    <col min="11" max="11" width="15.140625" style="2" customWidth="1"/>
    <col min="12" max="12" width="18.7109375" style="2" customWidth="1"/>
    <col min="13" max="13" width="16.7109375" style="2" bestFit="1" customWidth="1"/>
    <col min="14" max="14" width="17.140625" style="2" bestFit="1" customWidth="1"/>
    <col min="15" max="15" width="18.00390625" style="2" bestFit="1" customWidth="1"/>
    <col min="16" max="16384" width="12.57421875" style="2" customWidth="1"/>
  </cols>
  <sheetData>
    <row r="1" spans="1:15" ht="30" customHeight="1" hidden="1">
      <c r="A1" s="11"/>
      <c r="B1" s="11"/>
      <c r="C1" s="451" t="s">
        <v>467</v>
      </c>
      <c r="D1" s="679"/>
      <c r="E1" s="680"/>
      <c r="F1" s="451" t="s">
        <v>468</v>
      </c>
      <c r="G1" s="294" t="s">
        <v>498</v>
      </c>
      <c r="H1" s="451" t="s">
        <v>499</v>
      </c>
      <c r="I1" s="451"/>
      <c r="J1" s="451" t="s">
        <v>469</v>
      </c>
      <c r="K1" s="610" t="s">
        <v>573</v>
      </c>
      <c r="L1" s="509" t="s">
        <v>532</v>
      </c>
      <c r="M1" s="451" t="s">
        <v>516</v>
      </c>
      <c r="N1" s="295" t="s">
        <v>470</v>
      </c>
      <c r="O1" s="295" t="s">
        <v>471</v>
      </c>
    </row>
    <row r="2" spans="1:15" ht="39.75" customHeight="1">
      <c r="A2" s="252"/>
      <c r="B2" s="253"/>
      <c r="C2" s="693" t="s">
        <v>528</v>
      </c>
      <c r="D2" s="677" t="s">
        <v>648</v>
      </c>
      <c r="E2" s="678"/>
      <c r="F2" s="681" t="s">
        <v>529</v>
      </c>
      <c r="G2" s="615"/>
      <c r="H2" s="635"/>
      <c r="I2" s="693" t="s">
        <v>530</v>
      </c>
      <c r="J2" s="693" t="s">
        <v>531</v>
      </c>
      <c r="K2" s="693" t="s">
        <v>656</v>
      </c>
      <c r="L2" s="693" t="s">
        <v>551</v>
      </c>
      <c r="M2" s="693" t="s">
        <v>533</v>
      </c>
      <c r="N2" s="693" t="s">
        <v>525</v>
      </c>
      <c r="O2" s="693" t="s">
        <v>526</v>
      </c>
    </row>
    <row r="3" spans="1:15" ht="64.5" customHeight="1">
      <c r="A3" s="254"/>
      <c r="B3" s="255" t="s">
        <v>121</v>
      </c>
      <c r="C3" s="695"/>
      <c r="D3" s="670" t="s">
        <v>576</v>
      </c>
      <c r="E3" s="670" t="s">
        <v>650</v>
      </c>
      <c r="F3" s="696"/>
      <c r="G3" s="411" t="s">
        <v>500</v>
      </c>
      <c r="H3" s="614" t="s">
        <v>530</v>
      </c>
      <c r="I3" s="694"/>
      <c r="J3" s="694"/>
      <c r="K3" s="694"/>
      <c r="L3" s="694"/>
      <c r="M3" s="694"/>
      <c r="N3" s="694"/>
      <c r="O3" s="694"/>
    </row>
    <row r="4" spans="1:15" ht="14.25" customHeight="1">
      <c r="A4" s="562"/>
      <c r="B4" s="563"/>
      <c r="C4" s="564" t="s">
        <v>122</v>
      </c>
      <c r="D4" s="565" t="s">
        <v>309</v>
      </c>
      <c r="E4" s="565" t="s">
        <v>123</v>
      </c>
      <c r="F4" s="565" t="s">
        <v>124</v>
      </c>
      <c r="G4" s="566" t="s">
        <v>497</v>
      </c>
      <c r="H4" s="565" t="s">
        <v>125</v>
      </c>
      <c r="I4" s="565" t="s">
        <v>125</v>
      </c>
      <c r="J4" s="565" t="s">
        <v>126</v>
      </c>
      <c r="K4" s="565" t="s">
        <v>127</v>
      </c>
      <c r="L4" s="565" t="s">
        <v>128</v>
      </c>
      <c r="M4" s="565" t="s">
        <v>129</v>
      </c>
      <c r="N4" s="565" t="s">
        <v>130</v>
      </c>
      <c r="O4" s="565" t="s">
        <v>131</v>
      </c>
    </row>
    <row r="5" spans="1:15" ht="12.75">
      <c r="A5" s="412">
        <v>1</v>
      </c>
      <c r="B5" s="412" t="s">
        <v>133</v>
      </c>
      <c r="C5" s="18">
        <f>'Table 3 Levels 1&amp;2'!AR8</f>
        <v>34585063</v>
      </c>
      <c r="D5" s="17">
        <f>'[4] Audit Adjustments'!F8</f>
        <v>87721</v>
      </c>
      <c r="E5" s="136">
        <f>'[4] Audit Adjustments'!G8</f>
        <v>0</v>
      </c>
      <c r="F5" s="17">
        <f>SUM(C5:E5)</f>
        <v>34672784</v>
      </c>
      <c r="G5" s="17"/>
      <c r="H5" s="308"/>
      <c r="I5" s="308">
        <f>'[5]03MFP'!AA8</f>
        <v>23384176</v>
      </c>
      <c r="J5" s="308">
        <f>F5-I5</f>
        <v>11288608</v>
      </c>
      <c r="K5" s="308">
        <f>ROUND(J5/4,0)</f>
        <v>2822152</v>
      </c>
      <c r="L5" s="18">
        <f>'[4] Audit Adjustments'!C8</f>
        <v>35051669</v>
      </c>
      <c r="M5" s="567">
        <f>C5-L5</f>
        <v>-466606</v>
      </c>
      <c r="N5" s="13">
        <f aca="true" t="shared" si="0" ref="N5:N36">IF(M5&gt;0,M5,0)</f>
        <v>0</v>
      </c>
      <c r="O5" s="611">
        <f aca="true" t="shared" si="1" ref="O5:O36">IF(M5&lt;0,M5,0)</f>
        <v>-466606</v>
      </c>
    </row>
    <row r="6" spans="1:15" ht="12.75">
      <c r="A6" s="412">
        <v>2</v>
      </c>
      <c r="B6" s="412" t="s">
        <v>134</v>
      </c>
      <c r="C6" s="18">
        <f>'Table 3 Levels 1&amp;2'!AR9</f>
        <v>18410813</v>
      </c>
      <c r="D6" s="17">
        <f>'[4] Audit Adjustments'!F9</f>
        <v>0</v>
      </c>
      <c r="E6" s="136">
        <f>'[4] Audit Adjustments'!G9</f>
        <v>-2329</v>
      </c>
      <c r="F6" s="17">
        <f aca="true" t="shared" si="2" ref="F6:F69">SUM(C6:E6)</f>
        <v>18408484</v>
      </c>
      <c r="G6" s="17"/>
      <c r="H6" s="18"/>
      <c r="I6" s="18">
        <f>'[5]03MFP'!AA9</f>
        <v>11991368</v>
      </c>
      <c r="J6" s="18">
        <f aca="true" t="shared" si="3" ref="J6:J69">F6-I6</f>
        <v>6417116</v>
      </c>
      <c r="K6" s="18">
        <f aca="true" t="shared" si="4" ref="K6:K69">ROUND(J6/4,0)</f>
        <v>1604279</v>
      </c>
      <c r="L6" s="18">
        <f>'[4] Audit Adjustments'!C9</f>
        <v>17441952</v>
      </c>
      <c r="M6" s="567">
        <f aca="true" t="shared" si="5" ref="M6:M69">C6-L6</f>
        <v>968861</v>
      </c>
      <c r="N6" s="13">
        <f t="shared" si="0"/>
        <v>968861</v>
      </c>
      <c r="O6" s="611">
        <f t="shared" si="1"/>
        <v>0</v>
      </c>
    </row>
    <row r="7" spans="1:15" ht="12.75">
      <c r="A7" s="412">
        <v>3</v>
      </c>
      <c r="B7" s="412" t="s">
        <v>135</v>
      </c>
      <c r="C7" s="18">
        <f>'Table 3 Levels 1&amp;2'!AR10</f>
        <v>44475220</v>
      </c>
      <c r="D7" s="17">
        <f>'[4] Audit Adjustments'!F10</f>
        <v>0</v>
      </c>
      <c r="E7" s="136">
        <f>'[4] Audit Adjustments'!G10</f>
        <v>-8195</v>
      </c>
      <c r="F7" s="17">
        <f t="shared" si="2"/>
        <v>44467025</v>
      </c>
      <c r="G7" s="17"/>
      <c r="H7" s="18"/>
      <c r="I7" s="18">
        <f>'[5]03MFP'!AA10</f>
        <v>29563368</v>
      </c>
      <c r="J7" s="18">
        <f t="shared" si="3"/>
        <v>14903657</v>
      </c>
      <c r="K7" s="18">
        <f t="shared" si="4"/>
        <v>3725914</v>
      </c>
      <c r="L7" s="18">
        <f>'[4] Audit Adjustments'!C10</f>
        <v>41298081</v>
      </c>
      <c r="M7" s="567">
        <f t="shared" si="5"/>
        <v>3177139</v>
      </c>
      <c r="N7" s="13">
        <f t="shared" si="0"/>
        <v>3177139</v>
      </c>
      <c r="O7" s="611">
        <f t="shared" si="1"/>
        <v>0</v>
      </c>
    </row>
    <row r="8" spans="1:15" ht="12.75">
      <c r="A8" s="412">
        <v>4</v>
      </c>
      <c r="B8" s="412" t="s">
        <v>136</v>
      </c>
      <c r="C8" s="18">
        <f>'Table 3 Levels 1&amp;2'!AR11</f>
        <v>19069263</v>
      </c>
      <c r="D8" s="17">
        <f>'[4] Audit Adjustments'!F11</f>
        <v>2337</v>
      </c>
      <c r="E8" s="136">
        <f>'[4] Audit Adjustments'!G11</f>
        <v>0</v>
      </c>
      <c r="F8" s="17">
        <f t="shared" si="2"/>
        <v>19071600</v>
      </c>
      <c r="G8" s="17"/>
      <c r="H8" s="18"/>
      <c r="I8" s="18">
        <f>'[5]03MFP'!AA11</f>
        <v>13211944</v>
      </c>
      <c r="J8" s="18">
        <f t="shared" si="3"/>
        <v>5859656</v>
      </c>
      <c r="K8" s="18">
        <f t="shared" si="4"/>
        <v>1464914</v>
      </c>
      <c r="L8" s="18">
        <f>'[4] Audit Adjustments'!C11</f>
        <v>18962497</v>
      </c>
      <c r="M8" s="567">
        <f t="shared" si="5"/>
        <v>106766</v>
      </c>
      <c r="N8" s="13">
        <f t="shared" si="0"/>
        <v>106766</v>
      </c>
      <c r="O8" s="611">
        <f t="shared" si="1"/>
        <v>0</v>
      </c>
    </row>
    <row r="9" spans="1:15" ht="12.75">
      <c r="A9" s="413">
        <v>5</v>
      </c>
      <c r="B9" s="413" t="s">
        <v>137</v>
      </c>
      <c r="C9" s="19">
        <f>'Table 3 Levels 1&amp;2'!AR12</f>
        <v>25442794</v>
      </c>
      <c r="D9" s="414">
        <f>'[4] Audit Adjustments'!F12</f>
        <v>1</v>
      </c>
      <c r="E9" s="641">
        <f>'[4] Audit Adjustments'!G12</f>
        <v>0</v>
      </c>
      <c r="F9" s="246">
        <f t="shared" si="2"/>
        <v>25442795</v>
      </c>
      <c r="G9" s="414"/>
      <c r="H9" s="290"/>
      <c r="I9" s="290">
        <f>'[5]03MFP'!AA12</f>
        <v>16904080</v>
      </c>
      <c r="J9" s="290">
        <f t="shared" si="3"/>
        <v>8538715</v>
      </c>
      <c r="K9" s="290">
        <f t="shared" si="4"/>
        <v>2134679</v>
      </c>
      <c r="L9" s="290">
        <f>'[4] Audit Adjustments'!C12</f>
        <v>24908257</v>
      </c>
      <c r="M9" s="568">
        <f t="shared" si="5"/>
        <v>534537</v>
      </c>
      <c r="N9" s="15">
        <f t="shared" si="0"/>
        <v>534537</v>
      </c>
      <c r="O9" s="612">
        <f t="shared" si="1"/>
        <v>0</v>
      </c>
    </row>
    <row r="10" spans="1:15" ht="12.75">
      <c r="A10" s="412">
        <v>6</v>
      </c>
      <c r="B10" s="412" t="s">
        <v>138</v>
      </c>
      <c r="C10" s="18">
        <f>'Table 3 Levels 1&amp;2'!AR13</f>
        <v>23085170</v>
      </c>
      <c r="D10" s="17">
        <f>'[4] Audit Adjustments'!F13</f>
        <v>2</v>
      </c>
      <c r="E10" s="136">
        <f>'[4] Audit Adjustments'!G13</f>
        <v>0</v>
      </c>
      <c r="F10" s="17">
        <f t="shared" si="2"/>
        <v>23085172</v>
      </c>
      <c r="G10" s="17"/>
      <c r="H10" s="18"/>
      <c r="I10" s="18">
        <f>'[5]03MFP'!AA13</f>
        <v>14780896</v>
      </c>
      <c r="J10" s="18">
        <f t="shared" si="3"/>
        <v>8304276</v>
      </c>
      <c r="K10" s="18">
        <f t="shared" si="4"/>
        <v>2076069</v>
      </c>
      <c r="L10" s="18">
        <f>'[4] Audit Adjustments'!C13</f>
        <v>21816229</v>
      </c>
      <c r="M10" s="567">
        <f t="shared" si="5"/>
        <v>1268941</v>
      </c>
      <c r="N10" s="13">
        <f t="shared" si="0"/>
        <v>1268941</v>
      </c>
      <c r="O10" s="611">
        <f t="shared" si="1"/>
        <v>0</v>
      </c>
    </row>
    <row r="11" spans="1:15" ht="12.75">
      <c r="A11" s="412">
        <v>7</v>
      </c>
      <c r="B11" s="412" t="s">
        <v>139</v>
      </c>
      <c r="C11" s="18">
        <f>'Table 3 Levels 1&amp;2'!AR14</f>
        <v>8721080</v>
      </c>
      <c r="D11" s="17">
        <f>'[4] Audit Adjustments'!F14</f>
        <v>0</v>
      </c>
      <c r="E11" s="136">
        <f>'[4] Audit Adjustments'!G14</f>
        <v>-10485</v>
      </c>
      <c r="F11" s="17">
        <f t="shared" si="2"/>
        <v>8710595</v>
      </c>
      <c r="G11" s="17"/>
      <c r="H11" s="18"/>
      <c r="I11" s="18">
        <f>'[5]03MFP'!AA14</f>
        <v>5288160</v>
      </c>
      <c r="J11" s="18">
        <f t="shared" si="3"/>
        <v>3422435</v>
      </c>
      <c r="K11" s="18">
        <f t="shared" si="4"/>
        <v>855609</v>
      </c>
      <c r="L11" s="18">
        <f>'[4] Audit Adjustments'!C14</f>
        <v>8213850</v>
      </c>
      <c r="M11" s="567">
        <f t="shared" si="5"/>
        <v>507230</v>
      </c>
      <c r="N11" s="13">
        <f t="shared" si="0"/>
        <v>507230</v>
      </c>
      <c r="O11" s="611">
        <f t="shared" si="1"/>
        <v>0</v>
      </c>
    </row>
    <row r="12" spans="1:15" ht="12.75">
      <c r="A12" s="412">
        <v>8</v>
      </c>
      <c r="B12" s="412" t="s">
        <v>140</v>
      </c>
      <c r="C12" s="18">
        <f>'Table 3 Levels 1&amp;2'!AR15</f>
        <v>61988560</v>
      </c>
      <c r="D12" s="17">
        <f>'[4] Audit Adjustments'!F15</f>
        <v>218124</v>
      </c>
      <c r="E12" s="136">
        <f>'[4] Audit Adjustments'!G15</f>
        <v>0</v>
      </c>
      <c r="F12" s="17">
        <f t="shared" si="2"/>
        <v>62206684</v>
      </c>
      <c r="G12" s="17"/>
      <c r="H12" s="18"/>
      <c r="I12" s="18">
        <f>'[5]03MFP'!AA15</f>
        <v>41154160</v>
      </c>
      <c r="J12" s="18">
        <f t="shared" si="3"/>
        <v>21052524</v>
      </c>
      <c r="K12" s="18">
        <f t="shared" si="4"/>
        <v>5263131</v>
      </c>
      <c r="L12" s="18">
        <f>'[4] Audit Adjustments'!C15</f>
        <v>59436329</v>
      </c>
      <c r="M12" s="567">
        <f t="shared" si="5"/>
        <v>2552231</v>
      </c>
      <c r="N12" s="13">
        <f t="shared" si="0"/>
        <v>2552231</v>
      </c>
      <c r="O12" s="611">
        <f t="shared" si="1"/>
        <v>0</v>
      </c>
    </row>
    <row r="13" spans="1:15" ht="12.75">
      <c r="A13" s="412">
        <v>9</v>
      </c>
      <c r="B13" s="412" t="s">
        <v>141</v>
      </c>
      <c r="C13" s="18">
        <f>'Table 3 Levels 1&amp;2'!AR16</f>
        <v>163558868.5</v>
      </c>
      <c r="D13" s="17">
        <f>'[4] Audit Adjustments'!F16</f>
        <v>4927</v>
      </c>
      <c r="E13" s="136">
        <f>'[4] Audit Adjustments'!G16</f>
        <v>0</v>
      </c>
      <c r="F13" s="17">
        <f t="shared" si="2"/>
        <v>163563795.5</v>
      </c>
      <c r="G13" s="17"/>
      <c r="H13" s="18"/>
      <c r="I13" s="18">
        <f>'[5]03MFP'!AA16</f>
        <v>105451392</v>
      </c>
      <c r="J13" s="18">
        <f t="shared" si="3"/>
        <v>58112403.5</v>
      </c>
      <c r="K13" s="18">
        <f t="shared" si="4"/>
        <v>14528101</v>
      </c>
      <c r="L13" s="18">
        <f>'[4] Audit Adjustments'!C16</f>
        <v>157045330</v>
      </c>
      <c r="M13" s="567">
        <f t="shared" si="5"/>
        <v>6513538.5</v>
      </c>
      <c r="N13" s="13">
        <f t="shared" si="0"/>
        <v>6513538.5</v>
      </c>
      <c r="O13" s="611">
        <f t="shared" si="1"/>
        <v>0</v>
      </c>
    </row>
    <row r="14" spans="1:15" ht="12.75">
      <c r="A14" s="413">
        <v>10</v>
      </c>
      <c r="B14" s="413" t="s">
        <v>142</v>
      </c>
      <c r="C14" s="19">
        <f>'Table 3 Levels 1&amp;2'!AR17</f>
        <v>94155647</v>
      </c>
      <c r="D14" s="414">
        <f>'[4] Audit Adjustments'!F17</f>
        <v>0</v>
      </c>
      <c r="E14" s="641">
        <f>'[4] Audit Adjustments'!G17</f>
        <v>-1165</v>
      </c>
      <c r="F14" s="246">
        <f t="shared" si="2"/>
        <v>94154482</v>
      </c>
      <c r="G14" s="246"/>
      <c r="H14" s="290"/>
      <c r="I14" s="290">
        <f>'[5]03MFP'!AA17</f>
        <v>61581880</v>
      </c>
      <c r="J14" s="290">
        <f t="shared" si="3"/>
        <v>32572602</v>
      </c>
      <c r="K14" s="290">
        <f t="shared" si="4"/>
        <v>8143151</v>
      </c>
      <c r="L14" s="290">
        <f>'[4] Audit Adjustments'!C17</f>
        <v>90644987</v>
      </c>
      <c r="M14" s="568">
        <f t="shared" si="5"/>
        <v>3510660</v>
      </c>
      <c r="N14" s="15">
        <f t="shared" si="0"/>
        <v>3510660</v>
      </c>
      <c r="O14" s="612">
        <f t="shared" si="1"/>
        <v>0</v>
      </c>
    </row>
    <row r="15" spans="1:15" ht="12.75">
      <c r="A15" s="412">
        <v>11</v>
      </c>
      <c r="B15" s="412" t="s">
        <v>143</v>
      </c>
      <c r="C15" s="18">
        <f>'Table 3 Levels 1&amp;2'!AR18</f>
        <v>8058214</v>
      </c>
      <c r="D15" s="17">
        <f>'[4] Audit Adjustments'!F18</f>
        <v>125</v>
      </c>
      <c r="E15" s="136">
        <f>'[4] Audit Adjustments'!G18</f>
        <v>0</v>
      </c>
      <c r="F15" s="17">
        <f t="shared" si="2"/>
        <v>8058339</v>
      </c>
      <c r="G15" s="17"/>
      <c r="H15" s="18"/>
      <c r="I15" s="18">
        <f>'[5]03MFP'!AA18</f>
        <v>5269080</v>
      </c>
      <c r="J15" s="18">
        <f t="shared" si="3"/>
        <v>2789259</v>
      </c>
      <c r="K15" s="18">
        <f t="shared" si="4"/>
        <v>697315</v>
      </c>
      <c r="L15" s="18">
        <f>'[4] Audit Adjustments'!C18</f>
        <v>7764035</v>
      </c>
      <c r="M15" s="567">
        <f t="shared" si="5"/>
        <v>294179</v>
      </c>
      <c r="N15" s="13">
        <f t="shared" si="0"/>
        <v>294179</v>
      </c>
      <c r="O15" s="611">
        <f t="shared" si="1"/>
        <v>0</v>
      </c>
    </row>
    <row r="16" spans="1:15" ht="12.75">
      <c r="A16" s="412">
        <v>12</v>
      </c>
      <c r="B16" s="412" t="s">
        <v>144</v>
      </c>
      <c r="C16" s="18">
        <f>'Table 3 Levels 1&amp;2'!AR19</f>
        <v>6371003</v>
      </c>
      <c r="D16" s="17">
        <f>'[4] Audit Adjustments'!F19</f>
        <v>27551</v>
      </c>
      <c r="E16" s="136">
        <f>'[4] Audit Adjustments'!G19</f>
        <v>0</v>
      </c>
      <c r="F16" s="17">
        <f t="shared" si="2"/>
        <v>6398554</v>
      </c>
      <c r="G16" s="17"/>
      <c r="H16" s="18"/>
      <c r="I16" s="18">
        <f>'[5]03MFP'!AA19</f>
        <v>4180872</v>
      </c>
      <c r="J16" s="18">
        <f t="shared" si="3"/>
        <v>2217682</v>
      </c>
      <c r="K16" s="18">
        <f t="shared" si="4"/>
        <v>554421</v>
      </c>
      <c r="L16" s="18">
        <f>'[4] Audit Adjustments'!C19</f>
        <v>6289001</v>
      </c>
      <c r="M16" s="567">
        <f t="shared" si="5"/>
        <v>82002</v>
      </c>
      <c r="N16" s="13">
        <f t="shared" si="0"/>
        <v>82002</v>
      </c>
      <c r="O16" s="611">
        <f t="shared" si="1"/>
        <v>0</v>
      </c>
    </row>
    <row r="17" spans="1:15" ht="12.75">
      <c r="A17" s="412">
        <v>13</v>
      </c>
      <c r="B17" s="412" t="s">
        <v>145</v>
      </c>
      <c r="C17" s="18">
        <f>'Table 3 Levels 1&amp;2'!AR20</f>
        <v>7918286</v>
      </c>
      <c r="D17" s="17">
        <f>'[4] Audit Adjustments'!F20</f>
        <v>0</v>
      </c>
      <c r="E17" s="136">
        <f>'[4] Audit Adjustments'!G20</f>
        <v>-2332</v>
      </c>
      <c r="F17" s="17">
        <f t="shared" si="2"/>
        <v>7915954</v>
      </c>
      <c r="G17" s="17"/>
      <c r="H17" s="18"/>
      <c r="I17" s="18">
        <f>'[5]03MFP'!AA20</f>
        <v>5179968</v>
      </c>
      <c r="J17" s="18">
        <f t="shared" si="3"/>
        <v>2735986</v>
      </c>
      <c r="K17" s="18">
        <f t="shared" si="4"/>
        <v>683997</v>
      </c>
      <c r="L17" s="18">
        <f>'[4] Audit Adjustments'!C20</f>
        <v>7836642</v>
      </c>
      <c r="M17" s="567">
        <f t="shared" si="5"/>
        <v>81644</v>
      </c>
      <c r="N17" s="13">
        <f t="shared" si="0"/>
        <v>81644</v>
      </c>
      <c r="O17" s="611">
        <f t="shared" si="1"/>
        <v>0</v>
      </c>
    </row>
    <row r="18" spans="1:15" ht="12.75">
      <c r="A18" s="412">
        <v>14</v>
      </c>
      <c r="B18" s="412" t="s">
        <v>146</v>
      </c>
      <c r="C18" s="18">
        <f>'Table 3 Levels 1&amp;2'!AR21</f>
        <v>12267379</v>
      </c>
      <c r="D18" s="17">
        <f>'[4] Audit Adjustments'!F21</f>
        <v>0</v>
      </c>
      <c r="E18" s="136">
        <f>'[4] Audit Adjustments'!G21</f>
        <v>-3</v>
      </c>
      <c r="F18" s="17">
        <f t="shared" si="2"/>
        <v>12267376</v>
      </c>
      <c r="G18" s="17"/>
      <c r="H18" s="18"/>
      <c r="I18" s="18">
        <f>'[5]03MFP'!AA21</f>
        <v>8038976</v>
      </c>
      <c r="J18" s="18">
        <f t="shared" si="3"/>
        <v>4228400</v>
      </c>
      <c r="K18" s="18">
        <f t="shared" si="4"/>
        <v>1057100</v>
      </c>
      <c r="L18" s="18">
        <f>'[4] Audit Adjustments'!C21</f>
        <v>11344217</v>
      </c>
      <c r="M18" s="567">
        <f t="shared" si="5"/>
        <v>923162</v>
      </c>
      <c r="N18" s="13">
        <f t="shared" si="0"/>
        <v>923162</v>
      </c>
      <c r="O18" s="611">
        <f t="shared" si="1"/>
        <v>0</v>
      </c>
    </row>
    <row r="19" spans="1:15" ht="12.75">
      <c r="A19" s="413">
        <v>15</v>
      </c>
      <c r="B19" s="413" t="s">
        <v>147</v>
      </c>
      <c r="C19" s="19">
        <f>'Table 3 Levels 1&amp;2'!AR22</f>
        <v>15124566</v>
      </c>
      <c r="D19" s="414">
        <f>'[4] Audit Adjustments'!F22</f>
        <v>0</v>
      </c>
      <c r="E19" s="641">
        <f>'[4] Audit Adjustments'!G22</f>
        <v>-124</v>
      </c>
      <c r="F19" s="246">
        <f t="shared" si="2"/>
        <v>15124442</v>
      </c>
      <c r="G19" s="246"/>
      <c r="H19" s="290"/>
      <c r="I19" s="290">
        <f>'[5]03MFP'!AA22</f>
        <v>10594136</v>
      </c>
      <c r="J19" s="290">
        <f t="shared" si="3"/>
        <v>4530306</v>
      </c>
      <c r="K19" s="290">
        <f t="shared" si="4"/>
        <v>1132577</v>
      </c>
      <c r="L19" s="290">
        <f>'[4] Audit Adjustments'!C22</f>
        <v>14023678</v>
      </c>
      <c r="M19" s="568">
        <f t="shared" si="5"/>
        <v>1100888</v>
      </c>
      <c r="N19" s="15">
        <f t="shared" si="0"/>
        <v>1100888</v>
      </c>
      <c r="O19" s="612">
        <f t="shared" si="1"/>
        <v>0</v>
      </c>
    </row>
    <row r="20" spans="1:15" ht="12.75">
      <c r="A20" s="412">
        <v>16</v>
      </c>
      <c r="B20" s="412" t="s">
        <v>148</v>
      </c>
      <c r="C20" s="18">
        <f>'Table 3 Levels 1&amp;2'!AR23</f>
        <v>19520710</v>
      </c>
      <c r="D20" s="17">
        <f>'[4] Audit Adjustments'!F23</f>
        <v>0</v>
      </c>
      <c r="E20" s="136">
        <f>'[4] Audit Adjustments'!G23</f>
        <v>-1</v>
      </c>
      <c r="F20" s="17">
        <f t="shared" si="2"/>
        <v>19520709</v>
      </c>
      <c r="G20" s="17"/>
      <c r="H20" s="18"/>
      <c r="I20" s="18">
        <f>'[5]03MFP'!AA23</f>
        <v>12289944</v>
      </c>
      <c r="J20" s="18">
        <f t="shared" si="3"/>
        <v>7230765</v>
      </c>
      <c r="K20" s="18">
        <f t="shared" si="4"/>
        <v>1807691</v>
      </c>
      <c r="L20" s="18">
        <f>'[4] Audit Adjustments'!C23</f>
        <v>18238531</v>
      </c>
      <c r="M20" s="567">
        <f t="shared" si="5"/>
        <v>1282179</v>
      </c>
      <c r="N20" s="13">
        <f t="shared" si="0"/>
        <v>1282179</v>
      </c>
      <c r="O20" s="611">
        <f t="shared" si="1"/>
        <v>0</v>
      </c>
    </row>
    <row r="21" spans="1:15" ht="12.75">
      <c r="A21" s="412">
        <v>17</v>
      </c>
      <c r="B21" s="412" t="s">
        <v>149</v>
      </c>
      <c r="C21" s="18">
        <f>'Table 3 Levels 1&amp;2'!AR24</f>
        <v>141390042</v>
      </c>
      <c r="D21" s="17">
        <f>'[4] Audit Adjustments'!F24</f>
        <v>0</v>
      </c>
      <c r="E21" s="136">
        <f>'[4] Audit Adjustments'!G24</f>
        <v>-3267658</v>
      </c>
      <c r="F21" s="17">
        <f t="shared" si="2"/>
        <v>138122384</v>
      </c>
      <c r="G21" s="17"/>
      <c r="H21" s="18"/>
      <c r="I21" s="18">
        <f>'[5]03MFP'!AA24</f>
        <v>95377752</v>
      </c>
      <c r="J21" s="18">
        <f t="shared" si="3"/>
        <v>42744632</v>
      </c>
      <c r="K21" s="18">
        <f t="shared" si="4"/>
        <v>10686158</v>
      </c>
      <c r="L21" s="18">
        <f>'[4] Audit Adjustments'!C24</f>
        <v>140630529</v>
      </c>
      <c r="M21" s="567">
        <f t="shared" si="5"/>
        <v>759513</v>
      </c>
      <c r="N21" s="13">
        <f t="shared" si="0"/>
        <v>759513</v>
      </c>
      <c r="O21" s="611">
        <f t="shared" si="1"/>
        <v>0</v>
      </c>
    </row>
    <row r="22" spans="1:15" ht="12.75">
      <c r="A22" s="412">
        <v>18</v>
      </c>
      <c r="B22" s="412" t="s">
        <v>150</v>
      </c>
      <c r="C22" s="18">
        <f>'Table 3 Levels 1&amp;2'!AR25</f>
        <v>7871741</v>
      </c>
      <c r="D22" s="17">
        <f>'[4] Audit Adjustments'!F25</f>
        <v>0</v>
      </c>
      <c r="E22" s="136">
        <f>'[4] Audit Adjustments'!G25</f>
        <v>-5824</v>
      </c>
      <c r="F22" s="17">
        <f t="shared" si="2"/>
        <v>7865917</v>
      </c>
      <c r="G22" s="17"/>
      <c r="H22" s="18"/>
      <c r="I22" s="18">
        <f>'[5]03MFP'!AA25</f>
        <v>5134816</v>
      </c>
      <c r="J22" s="18">
        <f t="shared" si="3"/>
        <v>2731101</v>
      </c>
      <c r="K22" s="18">
        <f t="shared" si="4"/>
        <v>682775</v>
      </c>
      <c r="L22" s="18">
        <f>'[4] Audit Adjustments'!C25</f>
        <v>7611848</v>
      </c>
      <c r="M22" s="567">
        <f t="shared" si="5"/>
        <v>259893</v>
      </c>
      <c r="N22" s="13">
        <f t="shared" si="0"/>
        <v>259893</v>
      </c>
      <c r="O22" s="611">
        <f t="shared" si="1"/>
        <v>0</v>
      </c>
    </row>
    <row r="23" spans="1:15" ht="12.75">
      <c r="A23" s="412">
        <v>19</v>
      </c>
      <c r="B23" s="412" t="s">
        <v>151</v>
      </c>
      <c r="C23" s="18">
        <f>'Table 3 Levels 1&amp;2'!AR26</f>
        <v>10850855</v>
      </c>
      <c r="D23" s="17">
        <f>'[4] Audit Adjustments'!F26</f>
        <v>15217</v>
      </c>
      <c r="E23" s="136">
        <f>'[4] Audit Adjustments'!G26</f>
        <v>0</v>
      </c>
      <c r="F23" s="17">
        <f t="shared" si="2"/>
        <v>10866072</v>
      </c>
      <c r="G23" s="17"/>
      <c r="H23" s="18"/>
      <c r="I23" s="18">
        <f>'[5]03MFP'!AA26</f>
        <v>7098232</v>
      </c>
      <c r="J23" s="18">
        <f t="shared" si="3"/>
        <v>3767840</v>
      </c>
      <c r="K23" s="18">
        <f t="shared" si="4"/>
        <v>941960</v>
      </c>
      <c r="L23" s="18">
        <f>'[4] Audit Adjustments'!C26</f>
        <v>10484075</v>
      </c>
      <c r="M23" s="567">
        <f t="shared" si="5"/>
        <v>366780</v>
      </c>
      <c r="N23" s="13">
        <f t="shared" si="0"/>
        <v>366780</v>
      </c>
      <c r="O23" s="611">
        <f t="shared" si="1"/>
        <v>0</v>
      </c>
    </row>
    <row r="24" spans="1:15" ht="12.75">
      <c r="A24" s="413">
        <v>20</v>
      </c>
      <c r="B24" s="413" t="s">
        <v>152</v>
      </c>
      <c r="C24" s="19">
        <f>'Table 3 Levels 1&amp;2'!AR27</f>
        <v>26725662</v>
      </c>
      <c r="D24" s="414">
        <f>'[4] Audit Adjustments'!F27</f>
        <v>0</v>
      </c>
      <c r="E24" s="641">
        <f>'[4] Audit Adjustments'!G27</f>
        <v>-3494</v>
      </c>
      <c r="F24" s="246">
        <f t="shared" si="2"/>
        <v>26722168</v>
      </c>
      <c r="G24" s="246"/>
      <c r="H24" s="290"/>
      <c r="I24" s="290">
        <f>'[5]03MFP'!AA27</f>
        <v>16824120</v>
      </c>
      <c r="J24" s="290">
        <f t="shared" si="3"/>
        <v>9898048</v>
      </c>
      <c r="K24" s="290">
        <f t="shared" si="4"/>
        <v>2474512</v>
      </c>
      <c r="L24" s="290">
        <f>'[4] Audit Adjustments'!C27</f>
        <v>22459379</v>
      </c>
      <c r="M24" s="568">
        <f t="shared" si="5"/>
        <v>4266283</v>
      </c>
      <c r="N24" s="15">
        <f t="shared" si="0"/>
        <v>4266283</v>
      </c>
      <c r="O24" s="612">
        <f t="shared" si="1"/>
        <v>0</v>
      </c>
    </row>
    <row r="25" spans="1:15" ht="12.75">
      <c r="A25" s="412">
        <v>21</v>
      </c>
      <c r="B25" s="412" t="s">
        <v>153</v>
      </c>
      <c r="C25" s="18">
        <f>'Table 3 Levels 1&amp;2'!AR28</f>
        <v>14867221</v>
      </c>
      <c r="D25" s="17">
        <f>'[4] Audit Adjustments'!F28</f>
        <v>0</v>
      </c>
      <c r="E25" s="136">
        <f>'[4] Audit Adjustments'!G28</f>
        <v>-6989</v>
      </c>
      <c r="F25" s="17">
        <f t="shared" si="2"/>
        <v>14860232</v>
      </c>
      <c r="G25" s="17"/>
      <c r="H25" s="18"/>
      <c r="I25" s="18">
        <f>'[5]03MFP'!AA28</f>
        <v>9746880</v>
      </c>
      <c r="J25" s="18">
        <f t="shared" si="3"/>
        <v>5113352</v>
      </c>
      <c r="K25" s="18">
        <f t="shared" si="4"/>
        <v>1278338</v>
      </c>
      <c r="L25" s="18">
        <f>'[4] Audit Adjustments'!C28</f>
        <v>14455819</v>
      </c>
      <c r="M25" s="567">
        <f t="shared" si="5"/>
        <v>411402</v>
      </c>
      <c r="N25" s="13">
        <f t="shared" si="0"/>
        <v>411402</v>
      </c>
      <c r="O25" s="611">
        <f t="shared" si="1"/>
        <v>0</v>
      </c>
    </row>
    <row r="26" spans="1:15" ht="12.75">
      <c r="A26" s="412">
        <v>22</v>
      </c>
      <c r="B26" s="412" t="s">
        <v>154</v>
      </c>
      <c r="C26" s="18">
        <f>'Table 3 Levels 1&amp;2'!AR29</f>
        <v>15986167</v>
      </c>
      <c r="D26" s="17">
        <f>'[4] Audit Adjustments'!F29</f>
        <v>66</v>
      </c>
      <c r="E26" s="136">
        <f>'[4] Audit Adjustments'!G29</f>
        <v>0</v>
      </c>
      <c r="F26" s="17">
        <f t="shared" si="2"/>
        <v>15986233</v>
      </c>
      <c r="G26" s="17"/>
      <c r="H26" s="18"/>
      <c r="I26" s="18">
        <f>'[5]03MFP'!AA29</f>
        <v>10652360</v>
      </c>
      <c r="J26" s="18">
        <f t="shared" si="3"/>
        <v>5333873</v>
      </c>
      <c r="K26" s="18">
        <f t="shared" si="4"/>
        <v>1333468</v>
      </c>
      <c r="L26" s="18">
        <f>'[4] Audit Adjustments'!C29</f>
        <v>15280684</v>
      </c>
      <c r="M26" s="567">
        <f t="shared" si="5"/>
        <v>705483</v>
      </c>
      <c r="N26" s="13">
        <f t="shared" si="0"/>
        <v>705483</v>
      </c>
      <c r="O26" s="611">
        <f t="shared" si="1"/>
        <v>0</v>
      </c>
    </row>
    <row r="27" spans="1:15" ht="12.75">
      <c r="A27" s="412">
        <v>23</v>
      </c>
      <c r="B27" s="412" t="s">
        <v>155</v>
      </c>
      <c r="C27" s="18">
        <f>'Table 3 Levels 1&amp;2'!AR30</f>
        <v>55063358</v>
      </c>
      <c r="D27" s="17">
        <f>'[4] Audit Adjustments'!F30</f>
        <v>0</v>
      </c>
      <c r="E27" s="136">
        <f>'[4] Audit Adjustments'!G30</f>
        <v>-2332</v>
      </c>
      <c r="F27" s="17">
        <f t="shared" si="2"/>
        <v>55061026</v>
      </c>
      <c r="G27" s="17"/>
      <c r="H27" s="18"/>
      <c r="I27" s="18">
        <f>'[5]03MFP'!AA30</f>
        <v>37610792</v>
      </c>
      <c r="J27" s="18">
        <f t="shared" si="3"/>
        <v>17450234</v>
      </c>
      <c r="K27" s="18">
        <f t="shared" si="4"/>
        <v>4362559</v>
      </c>
      <c r="L27" s="18">
        <f>'[4] Audit Adjustments'!C30</f>
        <v>54655078</v>
      </c>
      <c r="M27" s="567">
        <f t="shared" si="5"/>
        <v>408280</v>
      </c>
      <c r="N27" s="13">
        <f t="shared" si="0"/>
        <v>408280</v>
      </c>
      <c r="O27" s="611">
        <f t="shared" si="1"/>
        <v>0</v>
      </c>
    </row>
    <row r="28" spans="1:15" ht="12.75">
      <c r="A28" s="412">
        <v>24</v>
      </c>
      <c r="B28" s="412" t="s">
        <v>156</v>
      </c>
      <c r="C28" s="18">
        <f>'Table 3 Levels 1&amp;2'!AR31</f>
        <v>10969211</v>
      </c>
      <c r="D28" s="17">
        <f>'[4] Audit Adjustments'!F31</f>
        <v>74851</v>
      </c>
      <c r="E28" s="136">
        <f>'[4] Audit Adjustments'!G31</f>
        <v>0</v>
      </c>
      <c r="F28" s="17">
        <f t="shared" si="2"/>
        <v>11044062</v>
      </c>
      <c r="G28" s="17"/>
      <c r="H28" s="18"/>
      <c r="I28" s="18">
        <f>'[5]03MFP'!AA31</f>
        <v>8575328</v>
      </c>
      <c r="J28" s="18">
        <f t="shared" si="3"/>
        <v>2468734</v>
      </c>
      <c r="K28" s="18">
        <f t="shared" si="4"/>
        <v>617184</v>
      </c>
      <c r="L28" s="18">
        <f>'[4] Audit Adjustments'!C31</f>
        <v>13229369</v>
      </c>
      <c r="M28" s="567">
        <f t="shared" si="5"/>
        <v>-2260158</v>
      </c>
      <c r="N28" s="13">
        <f t="shared" si="0"/>
        <v>0</v>
      </c>
      <c r="O28" s="611">
        <f t="shared" si="1"/>
        <v>-2260158</v>
      </c>
    </row>
    <row r="29" spans="1:15" ht="12.75">
      <c r="A29" s="413">
        <v>25</v>
      </c>
      <c r="B29" s="413" t="s">
        <v>157</v>
      </c>
      <c r="C29" s="19">
        <f>'Table 3 Levels 1&amp;2'!AR32</f>
        <v>10136918</v>
      </c>
      <c r="D29" s="414">
        <f>'[4] Audit Adjustments'!F32</f>
        <v>4659</v>
      </c>
      <c r="E29" s="641">
        <f>'[4] Audit Adjustments'!G32</f>
        <v>0</v>
      </c>
      <c r="F29" s="246">
        <f t="shared" si="2"/>
        <v>10141577</v>
      </c>
      <c r="G29" s="246"/>
      <c r="H29" s="290"/>
      <c r="I29" s="290">
        <f>'[5]03MFP'!AA32</f>
        <v>7140688</v>
      </c>
      <c r="J29" s="290">
        <f t="shared" si="3"/>
        <v>3000889</v>
      </c>
      <c r="K29" s="290">
        <f t="shared" si="4"/>
        <v>750222</v>
      </c>
      <c r="L29" s="290">
        <f>'[4] Audit Adjustments'!C32</f>
        <v>10303388</v>
      </c>
      <c r="M29" s="568">
        <f t="shared" si="5"/>
        <v>-166470</v>
      </c>
      <c r="N29" s="15">
        <f t="shared" si="0"/>
        <v>0</v>
      </c>
      <c r="O29" s="612">
        <f t="shared" si="1"/>
        <v>-166470</v>
      </c>
    </row>
    <row r="30" spans="1:15" ht="12.75">
      <c r="A30" s="412">
        <v>26</v>
      </c>
      <c r="B30" s="412" t="s">
        <v>158</v>
      </c>
      <c r="C30" s="18">
        <f>'Table 3 Levels 1&amp;2'!AR33</f>
        <v>134434312</v>
      </c>
      <c r="D30" s="17">
        <f>'[4] Audit Adjustments'!F33</f>
        <v>0</v>
      </c>
      <c r="E30" s="136">
        <f>'[4] Audit Adjustments'!G33</f>
        <v>-24812</v>
      </c>
      <c r="F30" s="17">
        <f t="shared" si="2"/>
        <v>134409500</v>
      </c>
      <c r="G30" s="228"/>
      <c r="H30" s="309"/>
      <c r="I30" s="309">
        <f>'[5]03MFP'!AA33</f>
        <v>87179976</v>
      </c>
      <c r="J30" s="309">
        <f t="shared" si="3"/>
        <v>47229524</v>
      </c>
      <c r="K30" s="309">
        <f t="shared" si="4"/>
        <v>11807381</v>
      </c>
      <c r="L30" s="18">
        <f>'[4] Audit Adjustments'!C33</f>
        <v>128872680</v>
      </c>
      <c r="M30" s="567">
        <f t="shared" si="5"/>
        <v>5561632</v>
      </c>
      <c r="N30" s="13">
        <f t="shared" si="0"/>
        <v>5561632</v>
      </c>
      <c r="O30" s="611">
        <f t="shared" si="1"/>
        <v>0</v>
      </c>
    </row>
    <row r="31" spans="1:15" ht="12.75">
      <c r="A31" s="412">
        <v>27</v>
      </c>
      <c r="B31" s="412" t="s">
        <v>159</v>
      </c>
      <c r="C31" s="18">
        <f>'Table 3 Levels 1&amp;2'!AR34</f>
        <v>24560011</v>
      </c>
      <c r="D31" s="17">
        <f>'[4] Audit Adjustments'!F34</f>
        <v>2333</v>
      </c>
      <c r="E31" s="136">
        <f>'[4] Audit Adjustments'!G34</f>
        <v>0</v>
      </c>
      <c r="F31" s="17">
        <f t="shared" si="2"/>
        <v>24562344</v>
      </c>
      <c r="G31" s="17"/>
      <c r="H31" s="18"/>
      <c r="I31" s="18">
        <f>'[5]03MFP'!AA34</f>
        <v>15679928</v>
      </c>
      <c r="J31" s="18">
        <f t="shared" si="3"/>
        <v>8882416</v>
      </c>
      <c r="K31" s="18">
        <f t="shared" si="4"/>
        <v>2220604</v>
      </c>
      <c r="L31" s="18">
        <f>'[4] Audit Adjustments'!C34</f>
        <v>23010464</v>
      </c>
      <c r="M31" s="567">
        <f t="shared" si="5"/>
        <v>1549547</v>
      </c>
      <c r="N31" s="13">
        <f t="shared" si="0"/>
        <v>1549547</v>
      </c>
      <c r="O31" s="611">
        <f t="shared" si="1"/>
        <v>0</v>
      </c>
    </row>
    <row r="32" spans="1:15" ht="12.75">
      <c r="A32" s="412">
        <v>28</v>
      </c>
      <c r="B32" s="412" t="s">
        <v>160</v>
      </c>
      <c r="C32" s="18">
        <f>'Table 3 Levels 1&amp;2'!AR35</f>
        <v>77398699</v>
      </c>
      <c r="D32" s="17">
        <f>'[4] Audit Adjustments'!F35</f>
        <v>32645</v>
      </c>
      <c r="E32" s="136">
        <f>'[4] Audit Adjustments'!G35</f>
        <v>0</v>
      </c>
      <c r="F32" s="17">
        <f t="shared" si="2"/>
        <v>77431344</v>
      </c>
      <c r="G32" s="17"/>
      <c r="H32" s="18"/>
      <c r="I32" s="18">
        <f>'[5]03MFP'!AA35</f>
        <v>50442512</v>
      </c>
      <c r="J32" s="18">
        <f t="shared" si="3"/>
        <v>26988832</v>
      </c>
      <c r="K32" s="18">
        <f t="shared" si="4"/>
        <v>6747208</v>
      </c>
      <c r="L32" s="18">
        <f>'[4] Audit Adjustments'!C35</f>
        <v>73320477</v>
      </c>
      <c r="M32" s="567">
        <f t="shared" si="5"/>
        <v>4078222</v>
      </c>
      <c r="N32" s="13">
        <f t="shared" si="0"/>
        <v>4078222</v>
      </c>
      <c r="O32" s="611">
        <f t="shared" si="1"/>
        <v>0</v>
      </c>
    </row>
    <row r="33" spans="1:15" ht="12.75">
      <c r="A33" s="412">
        <v>29</v>
      </c>
      <c r="B33" s="412" t="s">
        <v>161</v>
      </c>
      <c r="C33" s="18">
        <f>'Table 3 Levels 1&amp;2'!AR36</f>
        <v>55507851</v>
      </c>
      <c r="D33" s="17">
        <f>'[4] Audit Adjustments'!F36</f>
        <v>0</v>
      </c>
      <c r="E33" s="136">
        <f>'[4] Audit Adjustments'!G36</f>
        <v>-3205</v>
      </c>
      <c r="F33" s="17">
        <f t="shared" si="2"/>
        <v>55504646</v>
      </c>
      <c r="G33" s="17"/>
      <c r="H33" s="18"/>
      <c r="I33" s="18">
        <f>'[5]03MFP'!AA36</f>
        <v>37649552</v>
      </c>
      <c r="J33" s="18">
        <f t="shared" si="3"/>
        <v>17855094</v>
      </c>
      <c r="K33" s="18">
        <f t="shared" si="4"/>
        <v>4463774</v>
      </c>
      <c r="L33" s="18">
        <f>'[4] Audit Adjustments'!C36</f>
        <v>54417765</v>
      </c>
      <c r="M33" s="567">
        <f t="shared" si="5"/>
        <v>1090086</v>
      </c>
      <c r="N33" s="13">
        <f t="shared" si="0"/>
        <v>1090086</v>
      </c>
      <c r="O33" s="611">
        <f t="shared" si="1"/>
        <v>0</v>
      </c>
    </row>
    <row r="34" spans="1:15" ht="12.75">
      <c r="A34" s="413">
        <v>30</v>
      </c>
      <c r="B34" s="413" t="s">
        <v>162</v>
      </c>
      <c r="C34" s="19">
        <f>'Table 3 Levels 1&amp;2'!AR37</f>
        <v>10914653</v>
      </c>
      <c r="D34" s="414">
        <f>'[4] Audit Adjustments'!F37</f>
        <v>0</v>
      </c>
      <c r="E34" s="641">
        <f>'[4] Audit Adjustments'!G37</f>
        <v>-4660</v>
      </c>
      <c r="F34" s="246">
        <f t="shared" si="2"/>
        <v>10909993</v>
      </c>
      <c r="G34" s="246"/>
      <c r="H34" s="290"/>
      <c r="I34" s="290">
        <f>'[5]03MFP'!AA37</f>
        <v>7115904</v>
      </c>
      <c r="J34" s="290">
        <f t="shared" si="3"/>
        <v>3794089</v>
      </c>
      <c r="K34" s="290">
        <f t="shared" si="4"/>
        <v>948522</v>
      </c>
      <c r="L34" s="290">
        <f>'[4] Audit Adjustments'!C37</f>
        <v>10234197</v>
      </c>
      <c r="M34" s="568">
        <f t="shared" si="5"/>
        <v>680456</v>
      </c>
      <c r="N34" s="15">
        <f t="shared" si="0"/>
        <v>680456</v>
      </c>
      <c r="O34" s="612">
        <f t="shared" si="1"/>
        <v>0</v>
      </c>
    </row>
    <row r="35" spans="1:15" ht="12.75">
      <c r="A35" s="412">
        <v>31</v>
      </c>
      <c r="B35" s="412" t="s">
        <v>163</v>
      </c>
      <c r="C35" s="18">
        <f>'Table 3 Levels 1&amp;2'!AR38</f>
        <v>22847368</v>
      </c>
      <c r="D35" s="17">
        <f>'[4] Audit Adjustments'!F38</f>
        <v>2332</v>
      </c>
      <c r="E35" s="136">
        <f>'[4] Audit Adjustments'!G38</f>
        <v>0</v>
      </c>
      <c r="F35" s="17">
        <f t="shared" si="2"/>
        <v>22849700</v>
      </c>
      <c r="G35" s="17"/>
      <c r="H35" s="18"/>
      <c r="I35" s="18">
        <f>'[5]03MFP'!AA38</f>
        <v>15760568</v>
      </c>
      <c r="J35" s="18">
        <f t="shared" si="3"/>
        <v>7089132</v>
      </c>
      <c r="K35" s="18">
        <f t="shared" si="4"/>
        <v>1772283</v>
      </c>
      <c r="L35" s="18">
        <f>'[4] Audit Adjustments'!C38</f>
        <v>21269044</v>
      </c>
      <c r="M35" s="567">
        <f t="shared" si="5"/>
        <v>1578324</v>
      </c>
      <c r="N35" s="13">
        <f t="shared" si="0"/>
        <v>1578324</v>
      </c>
      <c r="O35" s="611">
        <f t="shared" si="1"/>
        <v>0</v>
      </c>
    </row>
    <row r="36" spans="1:15" ht="12.75">
      <c r="A36" s="412">
        <v>32</v>
      </c>
      <c r="B36" s="412" t="s">
        <v>164</v>
      </c>
      <c r="C36" s="18">
        <f>'Table 3 Levels 1&amp;2'!AR39</f>
        <v>81906747</v>
      </c>
      <c r="D36" s="17">
        <f>'[4] Audit Adjustments'!F39</f>
        <v>0</v>
      </c>
      <c r="E36" s="136">
        <f>'[4] Audit Adjustments'!G39</f>
        <v>-499</v>
      </c>
      <c r="F36" s="17">
        <f t="shared" si="2"/>
        <v>81906248</v>
      </c>
      <c r="G36" s="17"/>
      <c r="H36" s="18"/>
      <c r="I36" s="18">
        <f>'[5]03MFP'!AA39</f>
        <v>54700400</v>
      </c>
      <c r="J36" s="18">
        <f t="shared" si="3"/>
        <v>27205848</v>
      </c>
      <c r="K36" s="18">
        <f t="shared" si="4"/>
        <v>6801462</v>
      </c>
      <c r="L36" s="18">
        <f>'[4] Audit Adjustments'!C39</f>
        <v>76560771</v>
      </c>
      <c r="M36" s="567">
        <f t="shared" si="5"/>
        <v>5345976</v>
      </c>
      <c r="N36" s="13">
        <f t="shared" si="0"/>
        <v>5345976</v>
      </c>
      <c r="O36" s="611">
        <f t="shared" si="1"/>
        <v>0</v>
      </c>
    </row>
    <row r="37" spans="1:15" ht="12.75">
      <c r="A37" s="412">
        <v>33</v>
      </c>
      <c r="B37" s="412" t="s">
        <v>165</v>
      </c>
      <c r="C37" s="18">
        <f>'Table 3 Levels 1&amp;2'!AR40</f>
        <v>9334564</v>
      </c>
      <c r="D37" s="17">
        <f>'[4] Audit Adjustments'!F40</f>
        <v>0</v>
      </c>
      <c r="E37" s="136">
        <f>'[4] Audit Adjustments'!G40</f>
        <v>-8398</v>
      </c>
      <c r="F37" s="17">
        <f t="shared" si="2"/>
        <v>9326166</v>
      </c>
      <c r="G37" s="17"/>
      <c r="H37" s="18"/>
      <c r="I37" s="18">
        <f>'[5]03MFP'!AA40</f>
        <v>6264560</v>
      </c>
      <c r="J37" s="18">
        <f t="shared" si="3"/>
        <v>3061606</v>
      </c>
      <c r="K37" s="18">
        <f t="shared" si="4"/>
        <v>765402</v>
      </c>
      <c r="L37" s="18">
        <f>'[4] Audit Adjustments'!C40</f>
        <v>9344612</v>
      </c>
      <c r="M37" s="567">
        <f t="shared" si="5"/>
        <v>-10048</v>
      </c>
      <c r="N37" s="13">
        <f aca="true" t="shared" si="6" ref="N37:N68">IF(M37&gt;0,M37,0)</f>
        <v>0</v>
      </c>
      <c r="O37" s="611">
        <f aca="true" t="shared" si="7" ref="O37:O70">IF(M37&lt;0,M37,0)</f>
        <v>-10048</v>
      </c>
    </row>
    <row r="38" spans="1:15" ht="12.75">
      <c r="A38" s="412">
        <v>34</v>
      </c>
      <c r="B38" s="412" t="s">
        <v>166</v>
      </c>
      <c r="C38" s="18">
        <f>'Table 3 Levels 1&amp;2'!AR41</f>
        <v>19692448</v>
      </c>
      <c r="D38" s="17">
        <f>'[4] Audit Adjustments'!F41</f>
        <v>0</v>
      </c>
      <c r="E38" s="136">
        <f>'[4] Audit Adjustments'!G41</f>
        <v>-4662</v>
      </c>
      <c r="F38" s="17">
        <f t="shared" si="2"/>
        <v>19687786</v>
      </c>
      <c r="G38" s="17"/>
      <c r="H38" s="18"/>
      <c r="I38" s="18">
        <f>'[5]03MFP'!AA41</f>
        <v>13009344</v>
      </c>
      <c r="J38" s="18">
        <f t="shared" si="3"/>
        <v>6678442</v>
      </c>
      <c r="K38" s="18">
        <f t="shared" si="4"/>
        <v>1669611</v>
      </c>
      <c r="L38" s="18">
        <f>'[4] Audit Adjustments'!C41</f>
        <v>19371882</v>
      </c>
      <c r="M38" s="567">
        <f t="shared" si="5"/>
        <v>320566</v>
      </c>
      <c r="N38" s="13">
        <f t="shared" si="6"/>
        <v>320566</v>
      </c>
      <c r="O38" s="611">
        <f t="shared" si="7"/>
        <v>0</v>
      </c>
    </row>
    <row r="39" spans="1:15" ht="12.75">
      <c r="A39" s="413">
        <v>35</v>
      </c>
      <c r="B39" s="413" t="s">
        <v>167</v>
      </c>
      <c r="C39" s="19">
        <f>'Table 3 Levels 1&amp;2'!AR42</f>
        <v>24390859</v>
      </c>
      <c r="D39" s="414">
        <f>'[4] Audit Adjustments'!F42</f>
        <v>2</v>
      </c>
      <c r="E39" s="641">
        <f>'[4] Audit Adjustments'!G42</f>
        <v>0</v>
      </c>
      <c r="F39" s="246">
        <f t="shared" si="2"/>
        <v>24390861</v>
      </c>
      <c r="G39" s="246"/>
      <c r="H39" s="290"/>
      <c r="I39" s="290">
        <f>'[5]03MFP'!AA42</f>
        <v>16347384</v>
      </c>
      <c r="J39" s="290">
        <f t="shared" si="3"/>
        <v>8043477</v>
      </c>
      <c r="K39" s="290">
        <f t="shared" si="4"/>
        <v>2010869</v>
      </c>
      <c r="L39" s="290">
        <f>'[4] Audit Adjustments'!C42</f>
        <v>24108114</v>
      </c>
      <c r="M39" s="568">
        <f t="shared" si="5"/>
        <v>282745</v>
      </c>
      <c r="N39" s="15">
        <f t="shared" si="6"/>
        <v>282745</v>
      </c>
      <c r="O39" s="612">
        <f t="shared" si="7"/>
        <v>0</v>
      </c>
    </row>
    <row r="40" spans="1:15" ht="12.75">
      <c r="A40" s="412">
        <v>36</v>
      </c>
      <c r="B40" s="412" t="s">
        <v>168</v>
      </c>
      <c r="C40" s="18">
        <f>'Table 3 Levels 1&amp;2'!AR43</f>
        <v>224000050</v>
      </c>
      <c r="D40" s="17">
        <f>'[4] Audit Adjustments'!F43</f>
        <v>0</v>
      </c>
      <c r="E40" s="136">
        <f>'[4] Audit Adjustments'!G43</f>
        <v>-1863836</v>
      </c>
      <c r="F40" s="246">
        <f t="shared" si="2"/>
        <v>222136214</v>
      </c>
      <c r="G40" s="17"/>
      <c r="H40" s="18"/>
      <c r="I40" s="18">
        <f>'[5]03MFP'!AA43</f>
        <v>148699352</v>
      </c>
      <c r="J40" s="18">
        <f t="shared" si="3"/>
        <v>73436862</v>
      </c>
      <c r="K40" s="18">
        <f t="shared" si="4"/>
        <v>18359216</v>
      </c>
      <c r="L40" s="18">
        <f>'[4] Audit Adjustments'!C43</f>
        <v>222341539</v>
      </c>
      <c r="M40" s="567">
        <f t="shared" si="5"/>
        <v>1658511</v>
      </c>
      <c r="N40" s="13">
        <f t="shared" si="6"/>
        <v>1658511</v>
      </c>
      <c r="O40" s="611">
        <f t="shared" si="7"/>
        <v>0</v>
      </c>
    </row>
    <row r="41" spans="1:15" ht="12.75">
      <c r="A41" s="412">
        <v>37</v>
      </c>
      <c r="B41" s="412" t="s">
        <v>169</v>
      </c>
      <c r="C41" s="18">
        <f>'Table 3 Levels 1&amp;2'!AR44</f>
        <v>70936452</v>
      </c>
      <c r="D41" s="17">
        <f>'[4] Audit Adjustments'!F44</f>
        <v>0</v>
      </c>
      <c r="E41" s="136">
        <f>'[4] Audit Adjustments'!G44</f>
        <v>-19356</v>
      </c>
      <c r="F41" s="17">
        <f t="shared" si="2"/>
        <v>70917096</v>
      </c>
      <c r="G41" s="17"/>
      <c r="H41" s="18"/>
      <c r="I41" s="18">
        <f>'[5]03MFP'!AA44</f>
        <v>48074888</v>
      </c>
      <c r="J41" s="18">
        <f t="shared" si="3"/>
        <v>22842208</v>
      </c>
      <c r="K41" s="18">
        <f t="shared" si="4"/>
        <v>5710552</v>
      </c>
      <c r="L41" s="18">
        <f>'[4] Audit Adjustments'!C44</f>
        <v>68716627</v>
      </c>
      <c r="M41" s="567">
        <f t="shared" si="5"/>
        <v>2219825</v>
      </c>
      <c r="N41" s="13">
        <f t="shared" si="6"/>
        <v>2219825</v>
      </c>
      <c r="O41" s="611">
        <f t="shared" si="7"/>
        <v>0</v>
      </c>
    </row>
    <row r="42" spans="1:15" ht="12.75">
      <c r="A42" s="412">
        <v>38</v>
      </c>
      <c r="B42" s="412" t="s">
        <v>170</v>
      </c>
      <c r="C42" s="18">
        <f>'Table 3 Levels 1&amp;2'!AR45</f>
        <v>11091578</v>
      </c>
      <c r="D42" s="17">
        <f>'[4] Audit Adjustments'!F45</f>
        <v>15137</v>
      </c>
      <c r="E42" s="136">
        <f>'[4] Audit Adjustments'!G45</f>
        <v>0</v>
      </c>
      <c r="F42" s="17">
        <f t="shared" si="2"/>
        <v>11106715</v>
      </c>
      <c r="G42" s="17"/>
      <c r="H42" s="18"/>
      <c r="I42" s="18">
        <f>'[5]03MFP'!AA45</f>
        <v>7215464</v>
      </c>
      <c r="J42" s="18">
        <f t="shared" si="3"/>
        <v>3891251</v>
      </c>
      <c r="K42" s="18">
        <f t="shared" si="4"/>
        <v>972813</v>
      </c>
      <c r="L42" s="18">
        <f>'[4] Audit Adjustments'!C45</f>
        <v>10676705</v>
      </c>
      <c r="M42" s="567">
        <f t="shared" si="5"/>
        <v>414873</v>
      </c>
      <c r="N42" s="13">
        <f t="shared" si="6"/>
        <v>414873</v>
      </c>
      <c r="O42" s="611">
        <f t="shared" si="7"/>
        <v>0</v>
      </c>
    </row>
    <row r="43" spans="1:15" ht="12.75">
      <c r="A43" s="412">
        <v>39</v>
      </c>
      <c r="B43" s="412" t="s">
        <v>171</v>
      </c>
      <c r="C43" s="18">
        <f>'Table 3 Levels 1&amp;2'!AR46</f>
        <v>7511053</v>
      </c>
      <c r="D43" s="17">
        <f>'[4] Audit Adjustments'!F46</f>
        <v>0</v>
      </c>
      <c r="E43" s="136">
        <f>'[4] Audit Adjustments'!G46</f>
        <v>-4009</v>
      </c>
      <c r="F43" s="17">
        <f t="shared" si="2"/>
        <v>7507044</v>
      </c>
      <c r="G43" s="17"/>
      <c r="H43" s="18"/>
      <c r="I43" s="18">
        <f>'[5]03MFP'!AA46</f>
        <v>6217024</v>
      </c>
      <c r="J43" s="18">
        <f t="shared" si="3"/>
        <v>1290020</v>
      </c>
      <c r="K43" s="18">
        <f t="shared" si="4"/>
        <v>322505</v>
      </c>
      <c r="L43" s="18">
        <f>'[4] Audit Adjustments'!C46</f>
        <v>9102529</v>
      </c>
      <c r="M43" s="567">
        <f t="shared" si="5"/>
        <v>-1591476</v>
      </c>
      <c r="N43" s="13">
        <f t="shared" si="6"/>
        <v>0</v>
      </c>
      <c r="O43" s="611">
        <f t="shared" si="7"/>
        <v>-1591476</v>
      </c>
    </row>
    <row r="44" spans="1:15" ht="12.75">
      <c r="A44" s="413">
        <v>40</v>
      </c>
      <c r="B44" s="413" t="s">
        <v>172</v>
      </c>
      <c r="C44" s="19">
        <f>'Table 3 Levels 1&amp;2'!AR47</f>
        <v>83362340</v>
      </c>
      <c r="D44" s="414">
        <f>'[4] Audit Adjustments'!F47</f>
        <v>0</v>
      </c>
      <c r="E44" s="641">
        <f>'[4] Audit Adjustments'!G47</f>
        <v>-64969</v>
      </c>
      <c r="F44" s="246">
        <f t="shared" si="2"/>
        <v>83297371</v>
      </c>
      <c r="G44" s="246"/>
      <c r="H44" s="290"/>
      <c r="I44" s="290">
        <f>'[5]03MFP'!AA47</f>
        <v>53403952</v>
      </c>
      <c r="J44" s="290">
        <f t="shared" si="3"/>
        <v>29893419</v>
      </c>
      <c r="K44" s="290">
        <f t="shared" si="4"/>
        <v>7473355</v>
      </c>
      <c r="L44" s="290">
        <f>'[4] Audit Adjustments'!C47</f>
        <v>79580411</v>
      </c>
      <c r="M44" s="568">
        <f t="shared" si="5"/>
        <v>3781929</v>
      </c>
      <c r="N44" s="15">
        <f t="shared" si="6"/>
        <v>3781929</v>
      </c>
      <c r="O44" s="612">
        <f t="shared" si="7"/>
        <v>0</v>
      </c>
    </row>
    <row r="45" spans="1:15" ht="12.75">
      <c r="A45" s="412">
        <v>41</v>
      </c>
      <c r="B45" s="412" t="s">
        <v>173</v>
      </c>
      <c r="C45" s="18">
        <f>'Table 3 Levels 1&amp;2'!AR48</f>
        <v>8096015</v>
      </c>
      <c r="D45" s="17">
        <f>'[4] Audit Adjustments'!F48</f>
        <v>0</v>
      </c>
      <c r="E45" s="136">
        <f>'[4] Audit Adjustments'!G48</f>
        <v>-98371</v>
      </c>
      <c r="F45" s="17">
        <f t="shared" si="2"/>
        <v>7997644</v>
      </c>
      <c r="G45" s="17"/>
      <c r="H45" s="18"/>
      <c r="I45" s="18">
        <f>'[5]03MFP'!AA48</f>
        <v>5758640</v>
      </c>
      <c r="J45" s="18">
        <f t="shared" si="3"/>
        <v>2239004</v>
      </c>
      <c r="K45" s="18">
        <f t="shared" si="4"/>
        <v>559751</v>
      </c>
      <c r="L45" s="18">
        <f>'[4] Audit Adjustments'!C48</f>
        <v>8576279</v>
      </c>
      <c r="M45" s="567">
        <f t="shared" si="5"/>
        <v>-480264</v>
      </c>
      <c r="N45" s="13">
        <f t="shared" si="6"/>
        <v>0</v>
      </c>
      <c r="O45" s="611">
        <f t="shared" si="7"/>
        <v>-480264</v>
      </c>
    </row>
    <row r="46" spans="1:15" ht="12.75">
      <c r="A46" s="412">
        <v>42</v>
      </c>
      <c r="B46" s="412" t="s">
        <v>174</v>
      </c>
      <c r="C46" s="18">
        <f>'Table 3 Levels 1&amp;2'!AR49</f>
        <v>15202354</v>
      </c>
      <c r="D46" s="17">
        <f>'[4] Audit Adjustments'!F49</f>
        <v>0</v>
      </c>
      <c r="E46" s="136">
        <f>'[4] Audit Adjustments'!G49</f>
        <v>0</v>
      </c>
      <c r="F46" s="17">
        <f t="shared" si="2"/>
        <v>15202354</v>
      </c>
      <c r="G46" s="17"/>
      <c r="H46" s="18"/>
      <c r="I46" s="18">
        <f>'[5]03MFP'!AA49</f>
        <v>10088792</v>
      </c>
      <c r="J46" s="18">
        <f t="shared" si="3"/>
        <v>5113562</v>
      </c>
      <c r="K46" s="18">
        <f t="shared" si="4"/>
        <v>1278391</v>
      </c>
      <c r="L46" s="18">
        <f>'[4] Audit Adjustments'!C49</f>
        <v>14971987</v>
      </c>
      <c r="M46" s="567">
        <f t="shared" si="5"/>
        <v>230367</v>
      </c>
      <c r="N46" s="13">
        <f t="shared" si="6"/>
        <v>230367</v>
      </c>
      <c r="O46" s="611">
        <f t="shared" si="7"/>
        <v>0</v>
      </c>
    </row>
    <row r="47" spans="1:15" ht="12.75">
      <c r="A47" s="412">
        <v>43</v>
      </c>
      <c r="B47" s="412" t="s">
        <v>175</v>
      </c>
      <c r="C47" s="18">
        <f>'Table 3 Levels 1&amp;2'!AR50</f>
        <v>17365474</v>
      </c>
      <c r="D47" s="17">
        <f>'[4] Audit Adjustments'!F50</f>
        <v>0</v>
      </c>
      <c r="E47" s="136">
        <f>'[4] Audit Adjustments'!G50</f>
        <v>-2</v>
      </c>
      <c r="F47" s="17">
        <f t="shared" si="2"/>
        <v>17365472</v>
      </c>
      <c r="G47" s="17"/>
      <c r="H47" s="18"/>
      <c r="I47" s="18">
        <f>'[5]03MFP'!AA50</f>
        <v>11521376</v>
      </c>
      <c r="J47" s="18">
        <f t="shared" si="3"/>
        <v>5844096</v>
      </c>
      <c r="K47" s="18">
        <f t="shared" si="4"/>
        <v>1461024</v>
      </c>
      <c r="L47" s="18">
        <f>'[4] Audit Adjustments'!C50</f>
        <v>16167824</v>
      </c>
      <c r="M47" s="567">
        <f t="shared" si="5"/>
        <v>1197650</v>
      </c>
      <c r="N47" s="13">
        <f t="shared" si="6"/>
        <v>1197650</v>
      </c>
      <c r="O47" s="611">
        <f t="shared" si="7"/>
        <v>0</v>
      </c>
    </row>
    <row r="48" spans="1:15" ht="12.75">
      <c r="A48" s="412">
        <v>44</v>
      </c>
      <c r="B48" s="412" t="s">
        <v>176</v>
      </c>
      <c r="C48" s="18">
        <f>'Table 3 Levels 1&amp;2'!AR51</f>
        <v>28279925</v>
      </c>
      <c r="D48" s="17">
        <f>'[4] Audit Adjustments'!F51</f>
        <v>0</v>
      </c>
      <c r="E48" s="136">
        <f>'[4] Audit Adjustments'!G51</f>
        <v>-1</v>
      </c>
      <c r="F48" s="17">
        <f t="shared" si="2"/>
        <v>28279924</v>
      </c>
      <c r="G48" s="17"/>
      <c r="H48" s="18"/>
      <c r="I48" s="18">
        <f>'[5]03MFP'!AA51</f>
        <v>19307272</v>
      </c>
      <c r="J48" s="18">
        <f t="shared" si="3"/>
        <v>8972652</v>
      </c>
      <c r="K48" s="18">
        <f t="shared" si="4"/>
        <v>2243163</v>
      </c>
      <c r="L48" s="18">
        <f>'[4] Audit Adjustments'!C51</f>
        <v>26399373</v>
      </c>
      <c r="M48" s="567">
        <f t="shared" si="5"/>
        <v>1880552</v>
      </c>
      <c r="N48" s="13">
        <f t="shared" si="6"/>
        <v>1880552</v>
      </c>
      <c r="O48" s="611">
        <f t="shared" si="7"/>
        <v>0</v>
      </c>
    </row>
    <row r="49" spans="1:15" ht="12.75">
      <c r="A49" s="413">
        <v>45</v>
      </c>
      <c r="B49" s="413" t="s">
        <v>177</v>
      </c>
      <c r="C49" s="19">
        <f>'Table 3 Levels 1&amp;2'!AR52</f>
        <v>24428399</v>
      </c>
      <c r="D49" s="414">
        <f>'[4] Audit Adjustments'!F52</f>
        <v>0</v>
      </c>
      <c r="E49" s="641">
        <f>'[4] Audit Adjustments'!G52</f>
        <v>-5046</v>
      </c>
      <c r="F49" s="246">
        <f t="shared" si="2"/>
        <v>24423353</v>
      </c>
      <c r="G49" s="246"/>
      <c r="H49" s="290"/>
      <c r="I49" s="290">
        <f>'[5]03MFP'!AA52</f>
        <v>16101528</v>
      </c>
      <c r="J49" s="290">
        <f t="shared" si="3"/>
        <v>8321825</v>
      </c>
      <c r="K49" s="290">
        <f t="shared" si="4"/>
        <v>2080456</v>
      </c>
      <c r="L49" s="290">
        <f>'[4] Audit Adjustments'!C52</f>
        <v>23662675</v>
      </c>
      <c r="M49" s="568">
        <f t="shared" si="5"/>
        <v>765724</v>
      </c>
      <c r="N49" s="15">
        <f t="shared" si="6"/>
        <v>765724</v>
      </c>
      <c r="O49" s="612">
        <f t="shared" si="7"/>
        <v>0</v>
      </c>
    </row>
    <row r="50" spans="1:15" ht="12.75">
      <c r="A50" s="412">
        <v>46</v>
      </c>
      <c r="B50" s="412" t="s">
        <v>178</v>
      </c>
      <c r="C50" s="18">
        <f>'Table 3 Levels 1&amp;2'!AR53</f>
        <v>6115260</v>
      </c>
      <c r="D50" s="17">
        <f>'[4] Audit Adjustments'!F53</f>
        <v>0</v>
      </c>
      <c r="E50" s="136">
        <f>'[4] Audit Adjustments'!G53</f>
        <v>-66172</v>
      </c>
      <c r="F50" s="17">
        <f t="shared" si="2"/>
        <v>6049088</v>
      </c>
      <c r="G50" s="17"/>
      <c r="H50" s="18"/>
      <c r="I50" s="18">
        <f>'[5]03MFP'!AA53</f>
        <v>4063848</v>
      </c>
      <c r="J50" s="18">
        <f t="shared" si="3"/>
        <v>1985240</v>
      </c>
      <c r="K50" s="18">
        <f t="shared" si="4"/>
        <v>496310</v>
      </c>
      <c r="L50" s="18">
        <f>'[4] Audit Adjustments'!C53</f>
        <v>5946105</v>
      </c>
      <c r="M50" s="567">
        <f t="shared" si="5"/>
        <v>169155</v>
      </c>
      <c r="N50" s="13">
        <f t="shared" si="6"/>
        <v>169155</v>
      </c>
      <c r="O50" s="611">
        <f t="shared" si="7"/>
        <v>0</v>
      </c>
    </row>
    <row r="51" spans="1:15" ht="12.75">
      <c r="A51" s="412">
        <v>47</v>
      </c>
      <c r="B51" s="412" t="s">
        <v>179</v>
      </c>
      <c r="C51" s="18">
        <f>'Table 3 Levels 1&amp;2'!AR54</f>
        <v>9535011</v>
      </c>
      <c r="D51" s="17">
        <f>'[4] Audit Adjustments'!F54</f>
        <v>32206</v>
      </c>
      <c r="E51" s="136">
        <f>'[4] Audit Adjustments'!G54</f>
        <v>0</v>
      </c>
      <c r="F51" s="17">
        <f t="shared" si="2"/>
        <v>9567217</v>
      </c>
      <c r="G51" s="17"/>
      <c r="H51" s="18"/>
      <c r="I51" s="18">
        <f>'[5]03MFP'!AA54</f>
        <v>6600624</v>
      </c>
      <c r="J51" s="18">
        <f t="shared" si="3"/>
        <v>2966593</v>
      </c>
      <c r="K51" s="18">
        <f t="shared" si="4"/>
        <v>741648</v>
      </c>
      <c r="L51" s="18">
        <f>'[4] Audit Adjustments'!C54</f>
        <v>9849107</v>
      </c>
      <c r="M51" s="567">
        <f t="shared" si="5"/>
        <v>-314096</v>
      </c>
      <c r="N51" s="13">
        <f t="shared" si="6"/>
        <v>0</v>
      </c>
      <c r="O51" s="611">
        <f t="shared" si="7"/>
        <v>-314096</v>
      </c>
    </row>
    <row r="52" spans="1:15" ht="12.75">
      <c r="A52" s="412">
        <v>48</v>
      </c>
      <c r="B52" s="412" t="s">
        <v>451</v>
      </c>
      <c r="C52" s="18">
        <f>'Table 3 Levels 1&amp;2'!AR55</f>
        <v>25567969</v>
      </c>
      <c r="D52" s="17">
        <f>'[4] Audit Adjustments'!F55</f>
        <v>93433</v>
      </c>
      <c r="E52" s="136">
        <f>'[4] Audit Adjustments'!G55</f>
        <v>0</v>
      </c>
      <c r="F52" s="17">
        <f t="shared" si="2"/>
        <v>25661402</v>
      </c>
      <c r="G52" s="17"/>
      <c r="H52" s="18"/>
      <c r="I52" s="18">
        <f>'[5]03MFP'!AA55</f>
        <v>15971600</v>
      </c>
      <c r="J52" s="18">
        <f t="shared" si="3"/>
        <v>9689802</v>
      </c>
      <c r="K52" s="18">
        <f t="shared" si="4"/>
        <v>2422451</v>
      </c>
      <c r="L52" s="18">
        <f>'[4] Audit Adjustments'!C55</f>
        <v>23742536</v>
      </c>
      <c r="M52" s="567">
        <f t="shared" si="5"/>
        <v>1825433</v>
      </c>
      <c r="N52" s="13">
        <f t="shared" si="6"/>
        <v>1825433</v>
      </c>
      <c r="O52" s="611">
        <f t="shared" si="7"/>
        <v>0</v>
      </c>
    </row>
    <row r="53" spans="1:15" ht="12.75">
      <c r="A53" s="412">
        <v>49</v>
      </c>
      <c r="B53" s="412" t="s">
        <v>180</v>
      </c>
      <c r="C53" s="18">
        <f>'Table 3 Levels 1&amp;2'!AR56</f>
        <v>61057041</v>
      </c>
      <c r="D53" s="17">
        <f>'[4] Audit Adjustments'!F56</f>
        <v>0</v>
      </c>
      <c r="E53" s="136">
        <f>'[4] Audit Adjustments'!G56</f>
        <v>-6983</v>
      </c>
      <c r="F53" s="17">
        <f t="shared" si="2"/>
        <v>61050058</v>
      </c>
      <c r="G53" s="17"/>
      <c r="H53" s="18"/>
      <c r="I53" s="18">
        <f>'[5]03MFP'!AA56</f>
        <v>41080872</v>
      </c>
      <c r="J53" s="18">
        <f t="shared" si="3"/>
        <v>19969186</v>
      </c>
      <c r="K53" s="18">
        <f t="shared" si="4"/>
        <v>4992297</v>
      </c>
      <c r="L53" s="18">
        <f>'[4] Audit Adjustments'!C56</f>
        <v>58937822</v>
      </c>
      <c r="M53" s="567">
        <f t="shared" si="5"/>
        <v>2119219</v>
      </c>
      <c r="N53" s="13">
        <f t="shared" si="6"/>
        <v>2119219</v>
      </c>
      <c r="O53" s="611">
        <f t="shared" si="7"/>
        <v>0</v>
      </c>
    </row>
    <row r="54" spans="1:15" ht="12.75">
      <c r="A54" s="413">
        <v>50</v>
      </c>
      <c r="B54" s="413" t="s">
        <v>181</v>
      </c>
      <c r="C54" s="19">
        <f>'Table 3 Levels 1&amp;2'!AR57</f>
        <v>34911688</v>
      </c>
      <c r="D54" s="414">
        <f>'[4] Audit Adjustments'!F57</f>
        <v>3494</v>
      </c>
      <c r="E54" s="641">
        <f>'[4] Audit Adjustments'!G57</f>
        <v>0</v>
      </c>
      <c r="F54" s="246">
        <f t="shared" si="2"/>
        <v>34915182</v>
      </c>
      <c r="G54" s="246"/>
      <c r="H54" s="290"/>
      <c r="I54" s="290">
        <f>'[5]03MFP'!AA57</f>
        <v>23008136</v>
      </c>
      <c r="J54" s="290">
        <f t="shared" si="3"/>
        <v>11907046</v>
      </c>
      <c r="K54" s="290">
        <f t="shared" si="4"/>
        <v>2976762</v>
      </c>
      <c r="L54" s="290">
        <f>'[4] Audit Adjustments'!C57</f>
        <v>33560731</v>
      </c>
      <c r="M54" s="568">
        <f t="shared" si="5"/>
        <v>1350957</v>
      </c>
      <c r="N54" s="15">
        <f t="shared" si="6"/>
        <v>1350957</v>
      </c>
      <c r="O54" s="612">
        <f t="shared" si="7"/>
        <v>0</v>
      </c>
    </row>
    <row r="55" spans="1:15" ht="12.75">
      <c r="A55" s="412">
        <v>51</v>
      </c>
      <c r="B55" s="412" t="s">
        <v>182</v>
      </c>
      <c r="C55" s="18">
        <f>'Table 3 Levels 1&amp;2'!AR58</f>
        <v>36444068</v>
      </c>
      <c r="D55" s="17">
        <f>'[4] Audit Adjustments'!F58</f>
        <v>0</v>
      </c>
      <c r="E55" s="136">
        <f>'[4] Audit Adjustments'!G58</f>
        <v>-4</v>
      </c>
      <c r="F55" s="17">
        <f t="shared" si="2"/>
        <v>36444064</v>
      </c>
      <c r="G55" s="17"/>
      <c r="H55" s="18"/>
      <c r="I55" s="18">
        <f>'[5]03MFP'!AA58</f>
        <v>24142712</v>
      </c>
      <c r="J55" s="18">
        <f t="shared" si="3"/>
        <v>12301352</v>
      </c>
      <c r="K55" s="18">
        <f t="shared" si="4"/>
        <v>3075338</v>
      </c>
      <c r="L55" s="18">
        <f>'[4] Audit Adjustments'!C58</f>
        <v>35540713</v>
      </c>
      <c r="M55" s="567">
        <f t="shared" si="5"/>
        <v>903355</v>
      </c>
      <c r="N55" s="13">
        <f t="shared" si="6"/>
        <v>903355</v>
      </c>
      <c r="O55" s="611">
        <f t="shared" si="7"/>
        <v>0</v>
      </c>
    </row>
    <row r="56" spans="1:15" ht="12.75">
      <c r="A56" s="412">
        <v>52</v>
      </c>
      <c r="B56" s="412" t="s">
        <v>183</v>
      </c>
      <c r="C56" s="18">
        <f>'Table 3 Levels 1&amp;2'!AR59</f>
        <v>133731104</v>
      </c>
      <c r="D56" s="17">
        <f>'[4] Audit Adjustments'!F59</f>
        <v>0</v>
      </c>
      <c r="E56" s="136">
        <f>'[4] Audit Adjustments'!G59</f>
        <v>-55664</v>
      </c>
      <c r="F56" s="17">
        <f t="shared" si="2"/>
        <v>133675440</v>
      </c>
      <c r="G56" s="17"/>
      <c r="H56" s="18"/>
      <c r="I56" s="18">
        <f>'[5]03MFP'!AA59</f>
        <v>86172552</v>
      </c>
      <c r="J56" s="18">
        <f t="shared" si="3"/>
        <v>47502888</v>
      </c>
      <c r="K56" s="18">
        <f t="shared" si="4"/>
        <v>11875722</v>
      </c>
      <c r="L56" s="18">
        <f>'[4] Audit Adjustments'!C59</f>
        <v>124437830</v>
      </c>
      <c r="M56" s="567">
        <f t="shared" si="5"/>
        <v>9293274</v>
      </c>
      <c r="N56" s="13">
        <f t="shared" si="6"/>
        <v>9293274</v>
      </c>
      <c r="O56" s="611">
        <f t="shared" si="7"/>
        <v>0</v>
      </c>
    </row>
    <row r="57" spans="1:15" ht="12.75">
      <c r="A57" s="412">
        <v>53</v>
      </c>
      <c r="B57" s="412" t="s">
        <v>184</v>
      </c>
      <c r="C57" s="18">
        <f>'Table 3 Levels 1&amp;2'!AR60</f>
        <v>68319752</v>
      </c>
      <c r="D57" s="17">
        <f>'[4] Audit Adjustments'!F60</f>
        <v>0</v>
      </c>
      <c r="E57" s="136">
        <f>'[4] Audit Adjustments'!G60</f>
        <v>-247135</v>
      </c>
      <c r="F57" s="17">
        <f t="shared" si="2"/>
        <v>68072617</v>
      </c>
      <c r="G57" s="17"/>
      <c r="H57" s="18"/>
      <c r="I57" s="18">
        <f>'[5]03MFP'!AA60</f>
        <v>45415808</v>
      </c>
      <c r="J57" s="18">
        <f t="shared" si="3"/>
        <v>22656809</v>
      </c>
      <c r="K57" s="18">
        <f t="shared" si="4"/>
        <v>5664202</v>
      </c>
      <c r="L57" s="18">
        <f>'[4] Audit Adjustments'!C60</f>
        <v>66494172</v>
      </c>
      <c r="M57" s="567">
        <f t="shared" si="5"/>
        <v>1825580</v>
      </c>
      <c r="N57" s="13">
        <f t="shared" si="6"/>
        <v>1825580</v>
      </c>
      <c r="O57" s="611">
        <f t="shared" si="7"/>
        <v>0</v>
      </c>
    </row>
    <row r="58" spans="1:15" ht="12.75">
      <c r="A58" s="412">
        <v>54</v>
      </c>
      <c r="B58" s="412" t="s">
        <v>185</v>
      </c>
      <c r="C58" s="18">
        <f>'Table 3 Levels 1&amp;2'!AR61</f>
        <v>4126329</v>
      </c>
      <c r="D58" s="17">
        <f>'[4] Audit Adjustments'!F61</f>
        <v>0</v>
      </c>
      <c r="E58" s="136">
        <f>'[4] Audit Adjustments'!G61</f>
        <v>0</v>
      </c>
      <c r="F58" s="17">
        <f t="shared" si="2"/>
        <v>4126329</v>
      </c>
      <c r="G58" s="17"/>
      <c r="H58" s="18"/>
      <c r="I58" s="18">
        <f>'[5]03MFP'!AA61</f>
        <v>2788720</v>
      </c>
      <c r="J58" s="18">
        <f t="shared" si="3"/>
        <v>1337609</v>
      </c>
      <c r="K58" s="18">
        <f t="shared" si="4"/>
        <v>334402</v>
      </c>
      <c r="L58" s="18">
        <f>'[4] Audit Adjustments'!C61</f>
        <v>4248892</v>
      </c>
      <c r="M58" s="567">
        <f t="shared" si="5"/>
        <v>-122563</v>
      </c>
      <c r="N58" s="13">
        <f t="shared" si="6"/>
        <v>0</v>
      </c>
      <c r="O58" s="611">
        <f t="shared" si="7"/>
        <v>-122563</v>
      </c>
    </row>
    <row r="59" spans="1:15" ht="12.75">
      <c r="A59" s="413">
        <v>55</v>
      </c>
      <c r="B59" s="413" t="s">
        <v>186</v>
      </c>
      <c r="C59" s="19">
        <f>'Table 3 Levels 1&amp;2'!AR62</f>
        <v>67453500</v>
      </c>
      <c r="D59" s="414">
        <f>'[4] Audit Adjustments'!F62</f>
        <v>4563</v>
      </c>
      <c r="E59" s="641">
        <f>'[4] Audit Adjustments'!G62</f>
        <v>0</v>
      </c>
      <c r="F59" s="246">
        <f t="shared" si="2"/>
        <v>67458063</v>
      </c>
      <c r="G59" s="246"/>
      <c r="H59" s="290"/>
      <c r="I59" s="290">
        <f>'[5]03MFP'!AA62</f>
        <v>45946200</v>
      </c>
      <c r="J59" s="290">
        <f t="shared" si="3"/>
        <v>21511863</v>
      </c>
      <c r="K59" s="290">
        <f t="shared" si="4"/>
        <v>5377966</v>
      </c>
      <c r="L59" s="290">
        <f>'[4] Audit Adjustments'!C62</f>
        <v>67192634</v>
      </c>
      <c r="M59" s="568">
        <f t="shared" si="5"/>
        <v>260866</v>
      </c>
      <c r="N59" s="15">
        <f t="shared" si="6"/>
        <v>260866</v>
      </c>
      <c r="O59" s="612">
        <f t="shared" si="7"/>
        <v>0</v>
      </c>
    </row>
    <row r="60" spans="1:15" ht="12.75">
      <c r="A60" s="412">
        <v>56</v>
      </c>
      <c r="B60" s="412" t="s">
        <v>187</v>
      </c>
      <c r="C60" s="18">
        <f>'Table 3 Levels 1&amp;2'!AR63</f>
        <v>12856765</v>
      </c>
      <c r="D60" s="17">
        <f>'[4] Audit Adjustments'!F63</f>
        <v>0</v>
      </c>
      <c r="E60" s="136">
        <f>'[4] Audit Adjustments'!G63</f>
        <v>-2330</v>
      </c>
      <c r="F60" s="17">
        <f t="shared" si="2"/>
        <v>12854435</v>
      </c>
      <c r="G60" s="228"/>
      <c r="H60" s="309"/>
      <c r="I60" s="309">
        <f>'[5]03MFP'!AA63</f>
        <v>8573144</v>
      </c>
      <c r="J60" s="309">
        <f t="shared" si="3"/>
        <v>4281291</v>
      </c>
      <c r="K60" s="309">
        <f t="shared" si="4"/>
        <v>1070323</v>
      </c>
      <c r="L60" s="18">
        <f>'[4] Audit Adjustments'!C63</f>
        <v>12053577</v>
      </c>
      <c r="M60" s="567">
        <f t="shared" si="5"/>
        <v>803188</v>
      </c>
      <c r="N60" s="13">
        <f t="shared" si="6"/>
        <v>803188</v>
      </c>
      <c r="O60" s="611">
        <f t="shared" si="7"/>
        <v>0</v>
      </c>
    </row>
    <row r="61" spans="1:15" ht="12.75">
      <c r="A61" s="412">
        <v>57</v>
      </c>
      <c r="B61" s="412" t="s">
        <v>188</v>
      </c>
      <c r="C61" s="18">
        <f>'Table 3 Levels 1&amp;2'!AR64</f>
        <v>29772297</v>
      </c>
      <c r="D61" s="17">
        <f>'[4] Audit Adjustments'!F64</f>
        <v>118672</v>
      </c>
      <c r="E61" s="136">
        <f>'[4] Audit Adjustments'!G64</f>
        <v>0</v>
      </c>
      <c r="F61" s="17">
        <f t="shared" si="2"/>
        <v>29890969</v>
      </c>
      <c r="G61" s="17"/>
      <c r="H61" s="18"/>
      <c r="I61" s="18">
        <f>'[5]03MFP'!AA64</f>
        <v>18995928</v>
      </c>
      <c r="J61" s="18">
        <f t="shared" si="3"/>
        <v>10895041</v>
      </c>
      <c r="K61" s="18">
        <f t="shared" si="4"/>
        <v>2723760</v>
      </c>
      <c r="L61" s="18">
        <f>'[4] Audit Adjustments'!C64</f>
        <v>28161498</v>
      </c>
      <c r="M61" s="567">
        <f t="shared" si="5"/>
        <v>1610799</v>
      </c>
      <c r="N61" s="13">
        <f t="shared" si="6"/>
        <v>1610799</v>
      </c>
      <c r="O61" s="611">
        <f t="shared" si="7"/>
        <v>0</v>
      </c>
    </row>
    <row r="62" spans="1:15" ht="12.75">
      <c r="A62" s="412">
        <v>58</v>
      </c>
      <c r="B62" s="412" t="s">
        <v>189</v>
      </c>
      <c r="C62" s="18">
        <f>'Table 3 Levels 1&amp;2'!AR65</f>
        <v>40377056</v>
      </c>
      <c r="D62" s="17">
        <f>'[4] Audit Adjustments'!F65</f>
        <v>69787</v>
      </c>
      <c r="E62" s="136">
        <f>'[4] Audit Adjustments'!G65</f>
        <v>0</v>
      </c>
      <c r="F62" s="17">
        <f t="shared" si="2"/>
        <v>40446843</v>
      </c>
      <c r="G62" s="17"/>
      <c r="H62" s="18"/>
      <c r="I62" s="18">
        <f>'[5]03MFP'!AA65</f>
        <v>26789272</v>
      </c>
      <c r="J62" s="18">
        <f t="shared" si="3"/>
        <v>13657571</v>
      </c>
      <c r="K62" s="18">
        <f t="shared" si="4"/>
        <v>3414393</v>
      </c>
      <c r="L62" s="18">
        <f>'[4] Audit Adjustments'!C65</f>
        <v>39807210</v>
      </c>
      <c r="M62" s="567">
        <f t="shared" si="5"/>
        <v>569846</v>
      </c>
      <c r="N62" s="13">
        <f t="shared" si="6"/>
        <v>569846</v>
      </c>
      <c r="O62" s="611">
        <f t="shared" si="7"/>
        <v>0</v>
      </c>
    </row>
    <row r="63" spans="1:15" ht="12.75">
      <c r="A63" s="412">
        <v>59</v>
      </c>
      <c r="B63" s="412" t="s">
        <v>190</v>
      </c>
      <c r="C63" s="18">
        <f>'Table 3 Levels 1&amp;2'!AR66</f>
        <v>21378968</v>
      </c>
      <c r="D63" s="17">
        <f>'[4] Audit Adjustments'!F66</f>
        <v>0</v>
      </c>
      <c r="E63" s="136">
        <f>'[4] Audit Adjustments'!G66</f>
        <v>-4657</v>
      </c>
      <c r="F63" s="17">
        <f t="shared" si="2"/>
        <v>21374311</v>
      </c>
      <c r="G63" s="17"/>
      <c r="H63" s="18"/>
      <c r="I63" s="18">
        <f>'[5]03MFP'!AA66</f>
        <v>14004496</v>
      </c>
      <c r="J63" s="18">
        <f t="shared" si="3"/>
        <v>7369815</v>
      </c>
      <c r="K63" s="18">
        <f t="shared" si="4"/>
        <v>1842454</v>
      </c>
      <c r="L63" s="18">
        <f>'[4] Audit Adjustments'!C66</f>
        <v>20558296</v>
      </c>
      <c r="M63" s="567">
        <f t="shared" si="5"/>
        <v>820672</v>
      </c>
      <c r="N63" s="13">
        <f t="shared" si="6"/>
        <v>820672</v>
      </c>
      <c r="O63" s="611">
        <f t="shared" si="7"/>
        <v>0</v>
      </c>
    </row>
    <row r="64" spans="1:15" ht="12.75">
      <c r="A64" s="413">
        <v>60</v>
      </c>
      <c r="B64" s="413" t="s">
        <v>191</v>
      </c>
      <c r="C64" s="19">
        <f>'Table 3 Levels 1&amp;2'!AR67</f>
        <v>28083640</v>
      </c>
      <c r="D64" s="414">
        <f>'[4] Audit Adjustments'!F67</f>
        <v>0</v>
      </c>
      <c r="E64" s="641">
        <f>'[4] Audit Adjustments'!G67</f>
        <v>-2198</v>
      </c>
      <c r="F64" s="246">
        <f t="shared" si="2"/>
        <v>28081442</v>
      </c>
      <c r="G64" s="246"/>
      <c r="H64" s="290"/>
      <c r="I64" s="290">
        <f>'[5]03MFP'!AA67</f>
        <v>18067848</v>
      </c>
      <c r="J64" s="290">
        <f t="shared" si="3"/>
        <v>10013594</v>
      </c>
      <c r="K64" s="290">
        <f t="shared" si="4"/>
        <v>2503399</v>
      </c>
      <c r="L64" s="290">
        <f>'[4] Audit Adjustments'!C67</f>
        <v>26572817</v>
      </c>
      <c r="M64" s="568">
        <f t="shared" si="5"/>
        <v>1510823</v>
      </c>
      <c r="N64" s="15">
        <f t="shared" si="6"/>
        <v>1510823</v>
      </c>
      <c r="O64" s="612">
        <f t="shared" si="7"/>
        <v>0</v>
      </c>
    </row>
    <row r="65" spans="1:15" ht="12.75">
      <c r="A65" s="412">
        <v>61</v>
      </c>
      <c r="B65" s="412" t="s">
        <v>192</v>
      </c>
      <c r="C65" s="18">
        <f>'Table 3 Levels 1&amp;2'!AR68</f>
        <v>9568530</v>
      </c>
      <c r="D65" s="17">
        <f>'[4] Audit Adjustments'!F68</f>
        <v>0</v>
      </c>
      <c r="E65" s="136">
        <f>'[4] Audit Adjustments'!G68</f>
        <v>-243968</v>
      </c>
      <c r="F65" s="17">
        <f t="shared" si="2"/>
        <v>9324562</v>
      </c>
      <c r="G65" s="17"/>
      <c r="H65" s="18"/>
      <c r="I65" s="18">
        <f>'[5]03MFP'!AA68</f>
        <v>6050632</v>
      </c>
      <c r="J65" s="18">
        <f t="shared" si="3"/>
        <v>3273930</v>
      </c>
      <c r="K65" s="18">
        <f t="shared" si="4"/>
        <v>818483</v>
      </c>
      <c r="L65" s="18">
        <f>'[4] Audit Adjustments'!C68</f>
        <v>8997383</v>
      </c>
      <c r="M65" s="567">
        <f t="shared" si="5"/>
        <v>571147</v>
      </c>
      <c r="N65" s="13">
        <f t="shared" si="6"/>
        <v>571147</v>
      </c>
      <c r="O65" s="611">
        <f t="shared" si="7"/>
        <v>0</v>
      </c>
    </row>
    <row r="66" spans="1:15" ht="12.75">
      <c r="A66" s="412">
        <v>62</v>
      </c>
      <c r="B66" s="412" t="s">
        <v>193</v>
      </c>
      <c r="C66" s="18">
        <f>'Table 3 Levels 1&amp;2'!AR69</f>
        <v>9474806</v>
      </c>
      <c r="D66" s="17">
        <f>'[4] Audit Adjustments'!F69</f>
        <v>0</v>
      </c>
      <c r="E66" s="136">
        <f>'[4] Audit Adjustments'!G69</f>
        <v>0</v>
      </c>
      <c r="F66" s="17">
        <f t="shared" si="2"/>
        <v>9474806</v>
      </c>
      <c r="G66" s="17"/>
      <c r="H66" s="18"/>
      <c r="I66" s="18">
        <f>'[5]03MFP'!AA69</f>
        <v>6513976</v>
      </c>
      <c r="J66" s="18">
        <f t="shared" si="3"/>
        <v>2960830</v>
      </c>
      <c r="K66" s="18">
        <f t="shared" si="4"/>
        <v>740208</v>
      </c>
      <c r="L66" s="18">
        <f>'[4] Audit Adjustments'!C69</f>
        <v>9607257</v>
      </c>
      <c r="M66" s="567">
        <f t="shared" si="5"/>
        <v>-132451</v>
      </c>
      <c r="N66" s="13">
        <f t="shared" si="6"/>
        <v>0</v>
      </c>
      <c r="O66" s="611">
        <f t="shared" si="7"/>
        <v>-132451</v>
      </c>
    </row>
    <row r="67" spans="1:15" ht="12.75">
      <c r="A67" s="412">
        <v>63</v>
      </c>
      <c r="B67" s="412" t="s">
        <v>194</v>
      </c>
      <c r="C67" s="18">
        <f>'Table 3 Levels 1&amp;2'!AR70</f>
        <v>8462791</v>
      </c>
      <c r="D67" s="17">
        <f>'[4] Audit Adjustments'!F70</f>
        <v>328</v>
      </c>
      <c r="E67" s="136">
        <f>'[4] Audit Adjustments'!G70</f>
        <v>0</v>
      </c>
      <c r="F67" s="17">
        <f t="shared" si="2"/>
        <v>8463119</v>
      </c>
      <c r="G67" s="17"/>
      <c r="H67" s="18"/>
      <c r="I67" s="18">
        <f>'[5]03MFP'!AA70</f>
        <v>4967264</v>
      </c>
      <c r="J67" s="18">
        <f t="shared" si="3"/>
        <v>3495855</v>
      </c>
      <c r="K67" s="18">
        <f t="shared" si="4"/>
        <v>873964</v>
      </c>
      <c r="L67" s="18">
        <f>'[4] Audit Adjustments'!C70</f>
        <v>7100687</v>
      </c>
      <c r="M67" s="567">
        <f t="shared" si="5"/>
        <v>1362104</v>
      </c>
      <c r="N67" s="13">
        <f t="shared" si="6"/>
        <v>1362104</v>
      </c>
      <c r="O67" s="611">
        <f t="shared" si="7"/>
        <v>0</v>
      </c>
    </row>
    <row r="68" spans="1:15" ht="12.75">
      <c r="A68" s="412">
        <v>64</v>
      </c>
      <c r="B68" s="412" t="s">
        <v>195</v>
      </c>
      <c r="C68" s="18">
        <f>'Table 3 Levels 1&amp;2'!AR71</f>
        <v>12068906</v>
      </c>
      <c r="D68" s="17">
        <f>'[4] Audit Adjustments'!F71</f>
        <v>0</v>
      </c>
      <c r="E68" s="136">
        <f>'[4] Audit Adjustments'!G71</f>
        <v>-2</v>
      </c>
      <c r="F68" s="17">
        <f t="shared" si="2"/>
        <v>12068904</v>
      </c>
      <c r="G68" s="17"/>
      <c r="H68" s="18"/>
      <c r="I68" s="18">
        <f>'[5]03MFP'!AA71</f>
        <v>7707952</v>
      </c>
      <c r="J68" s="18">
        <f t="shared" si="3"/>
        <v>4360952</v>
      </c>
      <c r="K68" s="18">
        <f t="shared" si="4"/>
        <v>1090238</v>
      </c>
      <c r="L68" s="18">
        <f>'[4] Audit Adjustments'!C71</f>
        <v>11658245</v>
      </c>
      <c r="M68" s="567">
        <f t="shared" si="5"/>
        <v>410661</v>
      </c>
      <c r="N68" s="13">
        <f t="shared" si="6"/>
        <v>410661</v>
      </c>
      <c r="O68" s="611">
        <f t="shared" si="7"/>
        <v>0</v>
      </c>
    </row>
    <row r="69" spans="1:15" ht="12.75">
      <c r="A69" s="412">
        <v>65</v>
      </c>
      <c r="B69" s="412" t="s">
        <v>196</v>
      </c>
      <c r="C69" s="18">
        <f>'Table 3 Levels 1&amp;2'!AR72</f>
        <v>27944507</v>
      </c>
      <c r="D69" s="17">
        <f>'[4] Audit Adjustments'!F72</f>
        <v>0</v>
      </c>
      <c r="E69" s="136">
        <f>'[4] Audit Adjustments'!G72</f>
        <v>-370483</v>
      </c>
      <c r="F69" s="17">
        <f t="shared" si="2"/>
        <v>27574024</v>
      </c>
      <c r="G69" s="17"/>
      <c r="H69" s="18"/>
      <c r="I69" s="18">
        <f>'[5]03MFP'!AA72</f>
        <v>19312080</v>
      </c>
      <c r="J69" s="18">
        <f t="shared" si="3"/>
        <v>8261944</v>
      </c>
      <c r="K69" s="18">
        <f t="shared" si="4"/>
        <v>2065486</v>
      </c>
      <c r="L69" s="18">
        <f>'[4] Audit Adjustments'!C72</f>
        <v>27163281</v>
      </c>
      <c r="M69" s="567">
        <f t="shared" si="5"/>
        <v>781226</v>
      </c>
      <c r="N69" s="13">
        <f>IF(M69&gt;0,M69,0)</f>
        <v>781226</v>
      </c>
      <c r="O69" s="611">
        <f t="shared" si="7"/>
        <v>0</v>
      </c>
    </row>
    <row r="70" spans="1:15" ht="12.75">
      <c r="A70" s="413">
        <v>66</v>
      </c>
      <c r="B70" s="413" t="s">
        <v>197</v>
      </c>
      <c r="C70" s="19">
        <f>'Table 3 Levels 1&amp;2'!AR73</f>
        <v>12440633</v>
      </c>
      <c r="D70" s="414">
        <f>'[4] Audit Adjustments'!F73</f>
        <v>0</v>
      </c>
      <c r="E70" s="641">
        <f>'[4] Audit Adjustments'!G73</f>
        <v>0</v>
      </c>
      <c r="F70" s="246">
        <f>SUM(C70:E70)</f>
        <v>12440633</v>
      </c>
      <c r="G70" s="246"/>
      <c r="H70" s="290"/>
      <c r="I70" s="290">
        <f>'[5]03MFP'!AA73</f>
        <v>8949384</v>
      </c>
      <c r="J70" s="290">
        <f>F70-I70</f>
        <v>3491249</v>
      </c>
      <c r="K70" s="290">
        <f>ROUND(J70/4,0)</f>
        <v>872812</v>
      </c>
      <c r="L70" s="290">
        <f>'[4] Audit Adjustments'!C73</f>
        <v>12675429</v>
      </c>
      <c r="M70" s="568">
        <f>C70-L70</f>
        <v>-234796</v>
      </c>
      <c r="N70" s="15">
        <f>IF(M70&gt;0,M70,0)</f>
        <v>0</v>
      </c>
      <c r="O70" s="612">
        <f t="shared" si="7"/>
        <v>-234796</v>
      </c>
    </row>
    <row r="71" spans="1:15" ht="15.75" customHeight="1">
      <c r="A71" s="16"/>
      <c r="B71" s="16"/>
      <c r="C71" s="237"/>
      <c r="D71" s="17"/>
      <c r="E71" s="136"/>
      <c r="F71" s="17"/>
      <c r="G71" s="238"/>
      <c r="H71" s="237"/>
      <c r="I71" s="237"/>
      <c r="J71" s="18"/>
      <c r="K71" s="18"/>
      <c r="L71" s="18"/>
      <c r="M71" s="18"/>
      <c r="N71" s="17"/>
      <c r="O71" s="136"/>
    </row>
    <row r="72" spans="1:15" s="12" customFormat="1" ht="13.5" thickBot="1">
      <c r="A72" s="14"/>
      <c r="B72" s="119" t="s">
        <v>198</v>
      </c>
      <c r="C72" s="239">
        <f>SUM(C5:C70)</f>
        <v>2467565584.5</v>
      </c>
      <c r="D72" s="121">
        <f>SUM(D5:D70)</f>
        <v>810513</v>
      </c>
      <c r="E72" s="121">
        <f>SUM(E5:E70)</f>
        <v>-6412353</v>
      </c>
      <c r="F72" s="120">
        <f>SUM(F5:F71)</f>
        <v>2461963744.5</v>
      </c>
      <c r="G72" s="239">
        <f>SUM(G5:G70)</f>
        <v>0</v>
      </c>
      <c r="H72" s="239">
        <f>SUM(H5:H70)</f>
        <v>0</v>
      </c>
      <c r="I72" s="239">
        <f>SUM(I5:I70)</f>
        <v>1632686832</v>
      </c>
      <c r="J72" s="120">
        <f>SUM(J5:J70)</f>
        <v>829276912.5</v>
      </c>
      <c r="K72" s="120">
        <f>SUM(K5:K70)</f>
        <v>207319236</v>
      </c>
      <c r="L72" s="120">
        <f>SUM(L5:L71)</f>
        <v>2384437631</v>
      </c>
      <c r="M72" s="120">
        <f>SUM(M5:M70)</f>
        <v>83127953.5</v>
      </c>
      <c r="N72" s="121">
        <f>SUM(N5:N70)</f>
        <v>88906881.5</v>
      </c>
      <c r="O72" s="613">
        <f>SUM(O5:O70)</f>
        <v>-5778928</v>
      </c>
    </row>
    <row r="73" spans="3:6" ht="13.5" thickTop="1">
      <c r="C73" s="240"/>
      <c r="D73" s="510"/>
      <c r="E73" s="240"/>
      <c r="F73" s="240"/>
    </row>
    <row r="74" spans="3:6" ht="12.75">
      <c r="C74" s="240"/>
      <c r="D74" s="240"/>
      <c r="E74" s="240"/>
      <c r="F74" s="240"/>
    </row>
  </sheetData>
  <mergeCells count="11">
    <mergeCell ref="D1:E1"/>
    <mergeCell ref="F2:F3"/>
    <mergeCell ref="I2:I3"/>
    <mergeCell ref="J2:J3"/>
    <mergeCell ref="M2:M3"/>
    <mergeCell ref="N2:N3"/>
    <mergeCell ref="O2:O3"/>
    <mergeCell ref="C2:C3"/>
    <mergeCell ref="D2:E2"/>
    <mergeCell ref="K2:K3"/>
    <mergeCell ref="L2:L3"/>
  </mergeCells>
  <printOptions horizontalCentered="1"/>
  <pageMargins left="0.43" right="0.45" top="1.09" bottom="0.64" header="0.5" footer="0.21"/>
  <pageSetup firstPageNumber="2" useFirstPageNumber="1" horizontalDpi="600" verticalDpi="600" orientation="portrait" paperSize="5" scale="85" r:id="rId1"/>
  <headerFooter alignWithMargins="0">
    <oddHeader>&amp;L&amp;"Arial,Bold"&amp;16TABLE 2 - - 2002-2003 MFP DISTRIBUTION AND ADJUSTMENTS</oddHeader>
    <oddFooter>&amp;L&amp;F, &amp;A, &amp;D, &amp;T&amp;R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W871"/>
  <sheetViews>
    <sheetView zoomScale="85" zoomScaleNormal="85" workbookViewId="0" topLeftCell="A1">
      <selection activeCell="BB14" sqref="BB14"/>
    </sheetView>
  </sheetViews>
  <sheetFormatPr defaultColWidth="9.140625" defaultRowHeight="12.75"/>
  <cols>
    <col min="1" max="1" width="4.7109375" style="1" bestFit="1" customWidth="1"/>
    <col min="2" max="2" width="22.140625" style="2" bestFit="1" customWidth="1"/>
    <col min="3" max="3" width="13.00390625" style="2" customWidth="1"/>
    <col min="4" max="4" width="10.7109375" style="2" hidden="1" customWidth="1"/>
    <col min="5" max="5" width="12.8515625" style="2" hidden="1" customWidth="1"/>
    <col min="6" max="6" width="15.140625" style="3" customWidth="1"/>
    <col min="7" max="7" width="0.13671875" style="2" hidden="1" customWidth="1"/>
    <col min="8" max="8" width="11.8515625" style="2" hidden="1" customWidth="1"/>
    <col min="9" max="9" width="14.140625" style="2" bestFit="1" customWidth="1"/>
    <col min="10" max="10" width="18.00390625" style="2" hidden="1" customWidth="1"/>
    <col min="11" max="11" width="12.28125" style="2" hidden="1" customWidth="1"/>
    <col min="12" max="12" width="16.140625" style="2" customWidth="1"/>
    <col min="13" max="13" width="12.140625" style="2" hidden="1" customWidth="1"/>
    <col min="14" max="14" width="11.8515625" style="2" hidden="1" customWidth="1"/>
    <col min="15" max="15" width="10.140625" style="2" customWidth="1"/>
    <col min="16" max="16" width="24.28125" style="2" hidden="1" customWidth="1"/>
    <col min="17" max="17" width="12.7109375" style="4" hidden="1" customWidth="1"/>
    <col min="18" max="18" width="16.28125" style="2" hidden="1" customWidth="1"/>
    <col min="19" max="19" width="16.28125" style="2" bestFit="1" customWidth="1"/>
    <col min="20" max="20" width="15.57421875" style="2" bestFit="1" customWidth="1"/>
    <col min="21" max="21" width="10.8515625" style="2" bestFit="1" customWidth="1"/>
    <col min="22" max="22" width="8.57421875" style="2" bestFit="1" customWidth="1"/>
    <col min="23" max="23" width="15.28125" style="2" bestFit="1" customWidth="1"/>
    <col min="24" max="24" width="11.8515625" style="2" bestFit="1" customWidth="1"/>
    <col min="25" max="25" width="11.140625" style="2" bestFit="1" customWidth="1"/>
    <col min="26" max="26" width="10.7109375" style="2" bestFit="1" customWidth="1"/>
    <col min="27" max="27" width="20.8515625" style="2" bestFit="1" customWidth="1"/>
    <col min="28" max="28" width="10.8515625" style="2" bestFit="1" customWidth="1"/>
    <col min="29" max="29" width="16.7109375" style="2" bestFit="1" customWidth="1"/>
    <col min="30" max="30" width="9.00390625" style="2" bestFit="1" customWidth="1"/>
    <col min="31" max="31" width="16.7109375" style="2" customWidth="1"/>
    <col min="32" max="32" width="18.140625" style="2" bestFit="1" customWidth="1"/>
    <col min="33" max="33" width="13.421875" style="2" bestFit="1" customWidth="1"/>
    <col min="34" max="34" width="14.57421875" style="2" bestFit="1" customWidth="1"/>
    <col min="35" max="35" width="17.00390625" style="2" bestFit="1" customWidth="1"/>
    <col min="36" max="36" width="18.57421875" style="2" bestFit="1" customWidth="1"/>
    <col min="37" max="37" width="9.421875" style="2" bestFit="1" customWidth="1"/>
    <col min="38" max="38" width="13.421875" style="2" customWidth="1"/>
    <col min="39" max="39" width="13.8515625" style="2" bestFit="1" customWidth="1"/>
    <col min="40" max="40" width="20.00390625" style="2" customWidth="1"/>
    <col min="41" max="41" width="9.8515625" style="2" bestFit="1" customWidth="1"/>
    <col min="42" max="42" width="17.28125" style="2" bestFit="1" customWidth="1"/>
    <col min="43" max="43" width="9.8515625" style="2" bestFit="1" customWidth="1"/>
    <col min="44" max="44" width="17.00390625" style="2" bestFit="1" customWidth="1"/>
    <col min="45" max="45" width="21.421875" style="2" bestFit="1" customWidth="1"/>
    <col min="46" max="46" width="13.421875" style="2" customWidth="1"/>
    <col min="47" max="47" width="5.8515625" style="2" bestFit="1" customWidth="1"/>
    <col min="48" max="48" width="14.140625" style="2" bestFit="1" customWidth="1"/>
    <col min="49" max="49" width="5.8515625" style="2" bestFit="1" customWidth="1"/>
    <col min="50" max="50" width="17.00390625" style="2" bestFit="1" customWidth="1"/>
    <col min="51" max="51" width="9.8515625" style="2" bestFit="1" customWidth="1"/>
    <col min="52" max="52" width="5.8515625" style="2" bestFit="1" customWidth="1"/>
    <col min="53" max="53" width="13.421875" style="2" bestFit="1" customWidth="1"/>
    <col min="54" max="54" width="18.28125" style="2" bestFit="1" customWidth="1"/>
    <col min="55" max="55" width="13.140625" style="2" bestFit="1" customWidth="1"/>
    <col min="56" max="56" width="5.8515625" style="0" bestFit="1" customWidth="1"/>
    <col min="154" max="16384" width="9.140625" style="2" customWidth="1"/>
  </cols>
  <sheetData>
    <row r="1" spans="1:55" ht="24.75" customHeight="1">
      <c r="A1" s="699"/>
      <c r="B1" s="700"/>
      <c r="C1" s="703" t="s">
        <v>271</v>
      </c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305"/>
      <c r="Y1" s="98"/>
      <c r="Z1" s="98"/>
      <c r="AA1" s="98"/>
      <c r="AB1" s="98"/>
      <c r="AE1" s="653" t="s">
        <v>512</v>
      </c>
      <c r="AF1" s="305"/>
      <c r="AG1" s="98"/>
      <c r="AH1" s="98"/>
      <c r="AI1" s="98"/>
      <c r="AL1" s="98"/>
      <c r="AM1" s="98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97"/>
      <c r="BC1" s="97"/>
    </row>
    <row r="2" spans="1:52" ht="25.5">
      <c r="A2" s="701"/>
      <c r="B2" s="702"/>
      <c r="F2" s="2"/>
      <c r="Q2" s="2"/>
      <c r="X2" s="95"/>
      <c r="AE2" s="240"/>
      <c r="AF2" s="99"/>
      <c r="AG2" s="100"/>
      <c r="AH2" s="100"/>
      <c r="AI2" s="100"/>
      <c r="AJ2" s="100"/>
      <c r="AK2" s="100"/>
      <c r="AL2" s="100"/>
      <c r="AM2" s="101"/>
      <c r="AY2" s="95"/>
      <c r="AZ2" s="95"/>
    </row>
    <row r="3" spans="1:153" s="10" customFormat="1" ht="49.5" customHeight="1" hidden="1">
      <c r="A3" s="697"/>
      <c r="B3" s="698"/>
      <c r="C3" s="452" t="s">
        <v>496</v>
      </c>
      <c r="D3" s="337" t="s">
        <v>511</v>
      </c>
      <c r="E3" s="296" t="s">
        <v>312</v>
      </c>
      <c r="F3" s="574" t="s">
        <v>555</v>
      </c>
      <c r="G3" s="539" t="s">
        <v>511</v>
      </c>
      <c r="H3" s="296" t="s">
        <v>472</v>
      </c>
      <c r="I3" s="574" t="s">
        <v>556</v>
      </c>
      <c r="J3" s="539" t="s">
        <v>511</v>
      </c>
      <c r="K3" s="296" t="s">
        <v>313</v>
      </c>
      <c r="L3" s="574" t="s">
        <v>557</v>
      </c>
      <c r="M3" s="539" t="s">
        <v>511</v>
      </c>
      <c r="N3" s="300" t="s">
        <v>314</v>
      </c>
      <c r="O3" s="574" t="s">
        <v>558</v>
      </c>
      <c r="P3" s="297" t="s">
        <v>315</v>
      </c>
      <c r="Q3" s="297" t="s">
        <v>316</v>
      </c>
      <c r="R3" s="297" t="s">
        <v>317</v>
      </c>
      <c r="S3" s="453" t="s">
        <v>318</v>
      </c>
      <c r="T3" s="454" t="s">
        <v>275</v>
      </c>
      <c r="U3" s="575" t="s">
        <v>322</v>
      </c>
      <c r="V3" s="525" t="s">
        <v>540</v>
      </c>
      <c r="W3" s="452" t="s">
        <v>319</v>
      </c>
      <c r="X3" s="453" t="s">
        <v>320</v>
      </c>
      <c r="Y3" s="453" t="s">
        <v>321</v>
      </c>
      <c r="Z3" s="453" t="s">
        <v>276</v>
      </c>
      <c r="AA3" s="453" t="s">
        <v>473</v>
      </c>
      <c r="AB3" s="453" t="s">
        <v>277</v>
      </c>
      <c r="AC3" s="453" t="s">
        <v>474</v>
      </c>
      <c r="AD3" s="652" t="s">
        <v>278</v>
      </c>
      <c r="AE3" s="642" t="s">
        <v>559</v>
      </c>
      <c r="AF3" s="453" t="s">
        <v>475</v>
      </c>
      <c r="AG3" s="453" t="s">
        <v>476</v>
      </c>
      <c r="AH3" s="453" t="s">
        <v>279</v>
      </c>
      <c r="AI3" s="453" t="s">
        <v>280</v>
      </c>
      <c r="AJ3" s="453" t="s">
        <v>477</v>
      </c>
      <c r="AK3" s="453" t="s">
        <v>281</v>
      </c>
      <c r="AL3" s="453" t="s">
        <v>478</v>
      </c>
      <c r="AM3" s="453" t="s">
        <v>282</v>
      </c>
      <c r="AN3" s="453" t="s">
        <v>479</v>
      </c>
      <c r="AO3" s="453" t="s">
        <v>480</v>
      </c>
      <c r="AP3" s="453" t="s">
        <v>481</v>
      </c>
      <c r="AQ3" s="453" t="s">
        <v>482</v>
      </c>
      <c r="AR3" s="453" t="s">
        <v>483</v>
      </c>
      <c r="AS3" s="453" t="s">
        <v>484</v>
      </c>
      <c r="AT3" s="456" t="s">
        <v>560</v>
      </c>
      <c r="AU3" s="297"/>
      <c r="AV3" s="453" t="s">
        <v>485</v>
      </c>
      <c r="AW3" s="297"/>
      <c r="AX3" s="453" t="s">
        <v>486</v>
      </c>
      <c r="AY3" s="453" t="s">
        <v>487</v>
      </c>
      <c r="AZ3" s="297"/>
      <c r="BA3" s="453" t="s">
        <v>488</v>
      </c>
      <c r="BB3" s="453" t="s">
        <v>489</v>
      </c>
      <c r="BC3" s="453" t="s">
        <v>490</v>
      </c>
      <c r="BD3" s="299"/>
      <c r="BE3" s="299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</row>
    <row r="4" spans="6:153" s="10" customFormat="1" ht="14.25" customHeight="1">
      <c r="F4" s="122">
        <v>0.17</v>
      </c>
      <c r="G4" s="123"/>
      <c r="H4" s="123"/>
      <c r="I4" s="124">
        <v>0.05</v>
      </c>
      <c r="J4" s="123"/>
      <c r="K4" s="123"/>
      <c r="L4" s="124">
        <v>1.5</v>
      </c>
      <c r="M4" s="123"/>
      <c r="N4" s="123"/>
      <c r="O4" s="122">
        <v>0.6</v>
      </c>
      <c r="P4" s="241">
        <v>7500</v>
      </c>
      <c r="Q4" s="241">
        <v>37500</v>
      </c>
      <c r="R4" s="243"/>
      <c r="Y4" s="10" t="s">
        <v>1</v>
      </c>
      <c r="Z4" s="10" t="s">
        <v>1</v>
      </c>
      <c r="AA4" s="112">
        <v>0.35</v>
      </c>
      <c r="AB4" s="10" t="s">
        <v>1</v>
      </c>
      <c r="AC4" s="10" t="s">
        <v>1</v>
      </c>
      <c r="AD4" s="463" t="s">
        <v>1</v>
      </c>
      <c r="AE4" s="654"/>
      <c r="AF4" s="10" t="s">
        <v>1</v>
      </c>
      <c r="AH4" s="130">
        <v>0.33</v>
      </c>
      <c r="AI4" s="10" t="s">
        <v>1</v>
      </c>
      <c r="AJ4" s="130">
        <v>0.4</v>
      </c>
      <c r="AK4" s="10" t="s">
        <v>1</v>
      </c>
      <c r="AL4" s="130">
        <v>0.4</v>
      </c>
      <c r="AT4" s="10" t="s">
        <v>1</v>
      </c>
      <c r="AV4" s="10" t="s">
        <v>1</v>
      </c>
      <c r="AX4" s="10" t="s">
        <v>1</v>
      </c>
      <c r="AY4" s="10" t="s">
        <v>1</v>
      </c>
      <c r="BA4" s="10" t="s">
        <v>1</v>
      </c>
      <c r="BB4" s="10" t="s">
        <v>1</v>
      </c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</row>
    <row r="5" spans="1:153" s="1" customFormat="1" ht="81.75" customHeight="1">
      <c r="A5" s="233" t="s">
        <v>272</v>
      </c>
      <c r="B5" s="233" t="s">
        <v>103</v>
      </c>
      <c r="C5" s="307" t="s">
        <v>578</v>
      </c>
      <c r="D5" s="234" t="s">
        <v>68</v>
      </c>
      <c r="E5" s="234" t="s">
        <v>69</v>
      </c>
      <c r="F5" s="234" t="s">
        <v>651</v>
      </c>
      <c r="G5" s="234" t="s">
        <v>70</v>
      </c>
      <c r="H5" s="234" t="s">
        <v>71</v>
      </c>
      <c r="I5" s="234" t="s">
        <v>652</v>
      </c>
      <c r="J5" s="234" t="s">
        <v>72</v>
      </c>
      <c r="K5" s="234" t="s">
        <v>73</v>
      </c>
      <c r="L5" s="234" t="s">
        <v>409</v>
      </c>
      <c r="M5" s="234" t="s">
        <v>74</v>
      </c>
      <c r="N5" s="234" t="s">
        <v>75</v>
      </c>
      <c r="O5" s="234" t="s">
        <v>410</v>
      </c>
      <c r="P5" s="234" t="s">
        <v>76</v>
      </c>
      <c r="Q5" s="235" t="s">
        <v>435</v>
      </c>
      <c r="R5" s="234" t="s">
        <v>77</v>
      </c>
      <c r="S5" s="234" t="s">
        <v>106</v>
      </c>
      <c r="T5" s="234" t="s">
        <v>107</v>
      </c>
      <c r="U5" s="234" t="s">
        <v>310</v>
      </c>
      <c r="V5" s="234" t="s">
        <v>104</v>
      </c>
      <c r="W5" s="145" t="s">
        <v>119</v>
      </c>
      <c r="X5" s="234" t="s">
        <v>108</v>
      </c>
      <c r="Y5" s="234" t="s">
        <v>109</v>
      </c>
      <c r="Z5" s="234" t="s">
        <v>110</v>
      </c>
      <c r="AA5" s="234" t="s">
        <v>111</v>
      </c>
      <c r="AB5" s="234" t="s">
        <v>112</v>
      </c>
      <c r="AC5" s="339" t="s">
        <v>120</v>
      </c>
      <c r="AD5" s="234" t="s">
        <v>113</v>
      </c>
      <c r="AE5" s="643" t="s">
        <v>627</v>
      </c>
      <c r="AF5" s="234" t="s">
        <v>114</v>
      </c>
      <c r="AG5" s="234" t="s">
        <v>115</v>
      </c>
      <c r="AH5" s="234" t="s">
        <v>433</v>
      </c>
      <c r="AI5" s="145" t="s">
        <v>432</v>
      </c>
      <c r="AJ5" s="339" t="s">
        <v>628</v>
      </c>
      <c r="AK5" s="234" t="s">
        <v>116</v>
      </c>
      <c r="AL5" s="234" t="s">
        <v>117</v>
      </c>
      <c r="AM5" s="234" t="s">
        <v>118</v>
      </c>
      <c r="AN5" s="145" t="s">
        <v>629</v>
      </c>
      <c r="AO5" s="234" t="s">
        <v>420</v>
      </c>
      <c r="AP5" s="145" t="s">
        <v>630</v>
      </c>
      <c r="AQ5" s="234" t="s">
        <v>420</v>
      </c>
      <c r="AR5" s="339" t="s">
        <v>589</v>
      </c>
      <c r="AS5" s="145" t="s">
        <v>418</v>
      </c>
      <c r="AT5" s="511" t="s">
        <v>534</v>
      </c>
      <c r="AU5" s="234" t="s">
        <v>415</v>
      </c>
      <c r="AV5" s="234" t="s">
        <v>423</v>
      </c>
      <c r="AW5" s="234" t="s">
        <v>415</v>
      </c>
      <c r="AX5" s="145" t="s">
        <v>590</v>
      </c>
      <c r="AY5" s="234" t="s">
        <v>311</v>
      </c>
      <c r="AZ5" s="234" t="s">
        <v>415</v>
      </c>
      <c r="BA5" s="234" t="s">
        <v>434</v>
      </c>
      <c r="BB5" s="145" t="s">
        <v>591</v>
      </c>
      <c r="BC5" s="307" t="s">
        <v>535</v>
      </c>
      <c r="BD5" s="145" t="s">
        <v>415</v>
      </c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</row>
    <row r="6" spans="1:153" s="5" customFormat="1" ht="12.75">
      <c r="A6" s="236"/>
      <c r="B6" s="236"/>
      <c r="C6" s="142" t="s">
        <v>122</v>
      </c>
      <c r="D6" s="143" t="s">
        <v>215</v>
      </c>
      <c r="E6" s="143" t="s">
        <v>216</v>
      </c>
      <c r="F6" s="142" t="s">
        <v>309</v>
      </c>
      <c r="G6" s="142" t="s">
        <v>199</v>
      </c>
      <c r="H6" s="143" t="s">
        <v>200</v>
      </c>
      <c r="I6" s="142" t="s">
        <v>123</v>
      </c>
      <c r="J6" s="142" t="s">
        <v>201</v>
      </c>
      <c r="K6" s="142" t="s">
        <v>202</v>
      </c>
      <c r="L6" s="142" t="s">
        <v>124</v>
      </c>
      <c r="M6" s="143" t="s">
        <v>203</v>
      </c>
      <c r="N6" s="143" t="s">
        <v>204</v>
      </c>
      <c r="O6" s="142" t="s">
        <v>125</v>
      </c>
      <c r="P6" s="142" t="s">
        <v>501</v>
      </c>
      <c r="Q6" s="143"/>
      <c r="R6" s="143"/>
      <c r="S6" s="142" t="s">
        <v>126</v>
      </c>
      <c r="T6" s="142" t="s">
        <v>127</v>
      </c>
      <c r="U6" s="142" t="s">
        <v>128</v>
      </c>
      <c r="V6" s="142" t="s">
        <v>129</v>
      </c>
      <c r="W6" s="142" t="s">
        <v>130</v>
      </c>
      <c r="X6" s="142" t="s">
        <v>131</v>
      </c>
      <c r="Y6" s="142" t="s">
        <v>132</v>
      </c>
      <c r="Z6" s="142" t="s">
        <v>205</v>
      </c>
      <c r="AA6" s="142" t="s">
        <v>283</v>
      </c>
      <c r="AB6" s="142" t="s">
        <v>284</v>
      </c>
      <c r="AC6" s="142" t="s">
        <v>206</v>
      </c>
      <c r="AD6" s="142" t="s">
        <v>285</v>
      </c>
      <c r="AE6" s="331" t="s">
        <v>286</v>
      </c>
      <c r="AF6" s="142" t="s">
        <v>287</v>
      </c>
      <c r="AG6" s="142" t="s">
        <v>288</v>
      </c>
      <c r="AH6" s="142" t="s">
        <v>289</v>
      </c>
      <c r="AI6" s="142" t="s">
        <v>290</v>
      </c>
      <c r="AJ6" s="142" t="s">
        <v>291</v>
      </c>
      <c r="AK6" s="142" t="s">
        <v>209</v>
      </c>
      <c r="AL6" s="142" t="s">
        <v>210</v>
      </c>
      <c r="AM6" s="142" t="s">
        <v>211</v>
      </c>
      <c r="AN6" s="142" t="s">
        <v>292</v>
      </c>
      <c r="AO6" s="142" t="s">
        <v>293</v>
      </c>
      <c r="AP6" s="142" t="s">
        <v>294</v>
      </c>
      <c r="AQ6" s="142" t="s">
        <v>295</v>
      </c>
      <c r="AR6" s="142" t="s">
        <v>296</v>
      </c>
      <c r="AS6" s="142" t="s">
        <v>297</v>
      </c>
      <c r="AT6" s="142" t="s">
        <v>298</v>
      </c>
      <c r="AU6" s="142" t="s">
        <v>270</v>
      </c>
      <c r="AV6" s="142" t="s">
        <v>299</v>
      </c>
      <c r="AW6" s="142" t="s">
        <v>424</v>
      </c>
      <c r="AX6" s="142" t="s">
        <v>425</v>
      </c>
      <c r="AY6" s="142" t="s">
        <v>426</v>
      </c>
      <c r="AZ6" s="142" t="s">
        <v>427</v>
      </c>
      <c r="BA6" s="142" t="s">
        <v>428</v>
      </c>
      <c r="BB6" s="142" t="s">
        <v>429</v>
      </c>
      <c r="BC6" s="142" t="s">
        <v>430</v>
      </c>
      <c r="BD6" s="142" t="s">
        <v>431</v>
      </c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</row>
    <row r="7" spans="1:56" ht="12.75">
      <c r="A7" s="20"/>
      <c r="B7" s="21"/>
      <c r="C7" s="640"/>
      <c r="D7" s="616" t="s">
        <v>105</v>
      </c>
      <c r="E7" s="618" t="s">
        <v>105</v>
      </c>
      <c r="F7" s="20"/>
      <c r="G7" s="616" t="s">
        <v>105</v>
      </c>
      <c r="H7" s="618" t="s">
        <v>105</v>
      </c>
      <c r="I7" s="21"/>
      <c r="J7" s="617" t="s">
        <v>105</v>
      </c>
      <c r="K7" s="524" t="s">
        <v>105</v>
      </c>
      <c r="L7" s="93"/>
      <c r="M7" s="617" t="s">
        <v>105</v>
      </c>
      <c r="N7" s="524" t="s">
        <v>105</v>
      </c>
      <c r="O7" s="144"/>
      <c r="P7" s="524" t="s">
        <v>105</v>
      </c>
      <c r="Q7" s="22" t="s">
        <v>105</v>
      </c>
      <c r="R7" s="524" t="s">
        <v>105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3"/>
      <c r="AD7" s="21"/>
      <c r="AE7" s="644"/>
      <c r="AF7" s="21"/>
      <c r="AG7" s="21"/>
      <c r="AH7" s="21"/>
      <c r="AI7" s="21"/>
      <c r="AJ7" s="23"/>
      <c r="AK7" s="21"/>
      <c r="AL7" s="21"/>
      <c r="AM7" s="21"/>
      <c r="AN7" s="21"/>
      <c r="AO7" s="21"/>
      <c r="AP7" s="21"/>
      <c r="AQ7" s="21"/>
      <c r="AR7" s="387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</row>
    <row r="8" spans="1:153" s="6" customFormat="1" ht="12.75">
      <c r="A8" s="418">
        <v>1</v>
      </c>
      <c r="B8" s="326" t="s">
        <v>2</v>
      </c>
      <c r="C8" s="29">
        <f>'Table 8 Membership'!U8</f>
        <v>9496</v>
      </c>
      <c r="D8" s="326">
        <v>6217</v>
      </c>
      <c r="E8" s="313">
        <f>ROUND(V8*F8,0)</f>
        <v>3462732</v>
      </c>
      <c r="F8" s="29">
        <f aca="true" t="shared" si="0" ref="F8:F39">ROUND($F$4*D8,0)</f>
        <v>1057</v>
      </c>
      <c r="G8" s="326">
        <f>'[3]Sheet1'!C3</f>
        <v>2946</v>
      </c>
      <c r="H8" s="313">
        <f>ROUND(I8*V8,0)</f>
        <v>481572</v>
      </c>
      <c r="I8" s="29">
        <f aca="true" t="shared" si="1" ref="I8:I39">ROUND($I$4*G8,0)</f>
        <v>147</v>
      </c>
      <c r="J8" s="326">
        <f>'[1]Sheet1'!C6</f>
        <v>1820</v>
      </c>
      <c r="K8" s="313">
        <f>ROUND(L8*V8,0)</f>
        <v>8943480</v>
      </c>
      <c r="L8" s="29">
        <f aca="true" t="shared" si="2" ref="L8:L39">ROUND(J8*$L$4,0)</f>
        <v>2730</v>
      </c>
      <c r="M8" s="326">
        <f>'[1]Sheet1'!D6</f>
        <v>82</v>
      </c>
      <c r="N8" s="30">
        <f>ROUND(O8*V8,0)</f>
        <v>160524</v>
      </c>
      <c r="O8" s="29">
        <f aca="true" t="shared" si="3" ref="O8:O39">ROUND($O$4*M8,0)</f>
        <v>49</v>
      </c>
      <c r="P8" s="31">
        <f aca="true" t="shared" si="4" ref="P8:P39">IF(C8&lt;$P$4,$P$4-C8,0)</f>
        <v>0</v>
      </c>
      <c r="Q8" s="244">
        <f aca="true" t="shared" si="5" ref="Q8:Q39">ROUND(P8/$Q$4,5)</f>
        <v>0</v>
      </c>
      <c r="R8" s="30">
        <f>ROUND(S8*V8,0)</f>
        <v>0</v>
      </c>
      <c r="S8" s="29">
        <f>ROUND(C8*Q8,0)</f>
        <v>0</v>
      </c>
      <c r="T8" s="29">
        <f>SUM(F8+I8+L8+O8+S8,0)</f>
        <v>3983</v>
      </c>
      <c r="U8" s="29">
        <f>T8+C8</f>
        <v>13479</v>
      </c>
      <c r="V8" s="30">
        <f>V$75</f>
        <v>3276</v>
      </c>
      <c r="W8" s="30">
        <f>ROUND(U8*V8,0)</f>
        <v>44157204</v>
      </c>
      <c r="X8" s="33">
        <f>'Table 6 Local Wealth Factor'!L8</f>
        <v>0.75642898</v>
      </c>
      <c r="Y8" s="33">
        <f>ROUND(U8/U$75,8)</f>
        <v>0.01394297</v>
      </c>
      <c r="Z8" s="33">
        <f>ROUND(X8*Y8,8)</f>
        <v>0.01054687</v>
      </c>
      <c r="AA8" s="30">
        <f aca="true" t="shared" si="6" ref="AA8:AA39">IF(W$75*Z8*AA$4&lt;W8,ROUND(W$75*Z8*AA$4,0),W8)</f>
        <v>11690633</v>
      </c>
      <c r="AB8" s="34">
        <f>ROUND(AA8/W8,4)</f>
        <v>0.2648</v>
      </c>
      <c r="AC8" s="340">
        <f>IF(W8-AA8&gt;0,W8-AA8,0)</f>
        <v>32466571</v>
      </c>
      <c r="AD8" s="34">
        <f>ROUND(AC8/W8,4)</f>
        <v>0.7352</v>
      </c>
      <c r="AE8" s="645">
        <f>'Table 7 Local Revenue'!AL7</f>
        <v>12526500.5</v>
      </c>
      <c r="AF8" s="30">
        <f>IF(AE8-AA8&gt;0,AE8-AA8,0)</f>
        <v>835867.5</v>
      </c>
      <c r="AG8" s="37">
        <f>IF(AE8-AA8&lt;0,AE8-AA8,0)</f>
        <v>0</v>
      </c>
      <c r="AH8" s="30">
        <f aca="true" t="shared" si="7" ref="AH8:AH39">ROUND(W8*AH$4,0)</f>
        <v>14571877</v>
      </c>
      <c r="AI8" s="35">
        <f>IF(AF8&lt;AH8,AF8,AH8)</f>
        <v>835867.5</v>
      </c>
      <c r="AJ8" s="340">
        <f aca="true" t="shared" si="8" ref="AJ8:AJ39">IF((1-((1-AJ$4)*X8))*AI8&gt;0,ROUND((1-((1-AJ$4)*X8))*AI8,0),0)</f>
        <v>456503</v>
      </c>
      <c r="AK8" s="34">
        <f>IF(AI8=0,0,ROUND(AJ8/AI8,4))</f>
        <v>0.5461</v>
      </c>
      <c r="AL8" s="30">
        <f aca="true" t="shared" si="9" ref="AL8:AL39">IF(((1-((1-AL$4)*X8))*AH8)-AJ8&gt;0,ROUND(((1-((1-AL$4)*X8))*AH8)-AJ8,0),0)</f>
        <v>7501820</v>
      </c>
      <c r="AM8" s="30">
        <f>AI8+AJ8</f>
        <v>1292370.5</v>
      </c>
      <c r="AN8" s="30">
        <f>+AJ8+AC8</f>
        <v>32923074</v>
      </c>
      <c r="AO8" s="30">
        <f aca="true" t="shared" si="10" ref="AO8:AO39">ROUND(AN8/C8,2)</f>
        <v>3467.05</v>
      </c>
      <c r="AP8" s="30">
        <f>'Table 4 Level 3'!Y6</f>
        <v>1661989</v>
      </c>
      <c r="AQ8" s="30">
        <f>ROUND(AP8/C8,2)</f>
        <v>175.02</v>
      </c>
      <c r="AR8" s="340">
        <f>+AN8+AP8</f>
        <v>34585063</v>
      </c>
      <c r="AS8" s="37">
        <f>AR8-'Table 2 Distribution &amp; Adjusts'!L5</f>
        <v>-466606</v>
      </c>
      <c r="AT8" s="340">
        <f aca="true" t="shared" si="11" ref="AT8:AT39">ROUND(AR8/C8,2)</f>
        <v>3642.07</v>
      </c>
      <c r="AU8" s="29">
        <f>RANK(AT8,$AT$8:$AT$73)</f>
        <v>45</v>
      </c>
      <c r="AV8" s="34">
        <f aca="true" t="shared" si="12" ref="AV8:AV39">ROUND(AR8/BB8,4)</f>
        <v>0.7341</v>
      </c>
      <c r="AW8" s="29">
        <f>RANK(AV8,$AV$8:$AV$73)</f>
        <v>15</v>
      </c>
      <c r="AX8" s="30">
        <f>ROUND(AA8+AI8,2)</f>
        <v>12526500.5</v>
      </c>
      <c r="AY8" s="30">
        <f aca="true" t="shared" si="13" ref="AY8:AY39">ROUND(AX8/C8,2)</f>
        <v>1319.13</v>
      </c>
      <c r="AZ8" s="29">
        <f>RANK(AY8,$AY$8:$AY$73)</f>
        <v>56</v>
      </c>
      <c r="BA8" s="34" t="s">
        <v>1</v>
      </c>
      <c r="BB8" s="30">
        <f aca="true" t="shared" si="14" ref="BB8:BB39">ROUND(AR8+AX8,2)</f>
        <v>47111563.5</v>
      </c>
      <c r="BC8" s="30">
        <f aca="true" t="shared" si="15" ref="BC8:BC39">ROUND(BB8/C8,2)</f>
        <v>4961.2</v>
      </c>
      <c r="BD8" s="29">
        <f>RANK(BC8,$BC$8:$BC$73)</f>
        <v>63</v>
      </c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</row>
    <row r="9" spans="1:153" s="6" customFormat="1" ht="12.75">
      <c r="A9" s="418">
        <v>2</v>
      </c>
      <c r="B9" s="326" t="s">
        <v>3</v>
      </c>
      <c r="C9" s="29">
        <f>'Table 8 Membership'!U9</f>
        <v>4193</v>
      </c>
      <c r="D9" s="326">
        <v>2373</v>
      </c>
      <c r="E9" s="313">
        <f aca="true" t="shared" si="16" ref="E9:E72">ROUND(V9*F9,0)</f>
        <v>1320228</v>
      </c>
      <c r="F9" s="29">
        <f t="shared" si="0"/>
        <v>403</v>
      </c>
      <c r="G9" s="326">
        <f>'[3]Sheet1'!C4</f>
        <v>1531</v>
      </c>
      <c r="H9" s="313">
        <f aca="true" t="shared" si="17" ref="H9:H72">ROUND(I9*V9,0)</f>
        <v>252252</v>
      </c>
      <c r="I9" s="29">
        <f t="shared" si="1"/>
        <v>77</v>
      </c>
      <c r="J9" s="326">
        <f>'[1]Sheet1'!C7</f>
        <v>519</v>
      </c>
      <c r="K9" s="313">
        <f aca="true" t="shared" si="18" ref="K9:K72">ROUND(L9*V9,0)</f>
        <v>2552004</v>
      </c>
      <c r="L9" s="29">
        <f t="shared" si="2"/>
        <v>779</v>
      </c>
      <c r="M9" s="326">
        <f>'[1]Sheet1'!D7</f>
        <v>113</v>
      </c>
      <c r="N9" s="30">
        <f aca="true" t="shared" si="19" ref="N9:N72">ROUND(O9*V9,0)</f>
        <v>222768</v>
      </c>
      <c r="O9" s="29">
        <f t="shared" si="3"/>
        <v>68</v>
      </c>
      <c r="P9" s="29">
        <f t="shared" si="4"/>
        <v>3307</v>
      </c>
      <c r="Q9" s="244">
        <f t="shared" si="5"/>
        <v>0.08819</v>
      </c>
      <c r="R9" s="30">
        <f aca="true" t="shared" si="20" ref="R9:R72">ROUND(S9*V9,0)</f>
        <v>1212120</v>
      </c>
      <c r="S9" s="29">
        <f aca="true" t="shared" si="21" ref="S9:S72">ROUND(C9*Q9,0)</f>
        <v>370</v>
      </c>
      <c r="T9" s="29">
        <f aca="true" t="shared" si="22" ref="T9:T72">SUM(F9+I9+L9+O9+S9,0)</f>
        <v>1697</v>
      </c>
      <c r="U9" s="29">
        <f aca="true" t="shared" si="23" ref="U9:U72">T9+C9</f>
        <v>5890</v>
      </c>
      <c r="V9" s="30">
        <f aca="true" t="shared" si="24" ref="V9:V72">V$75</f>
        <v>3276</v>
      </c>
      <c r="W9" s="30">
        <f aca="true" t="shared" si="25" ref="W9:W72">ROUND(U9*V9,0)</f>
        <v>19295640</v>
      </c>
      <c r="X9" s="33">
        <f>'Table 6 Local Wealth Factor'!L9</f>
        <v>0.53592516</v>
      </c>
      <c r="Y9" s="33">
        <f aca="true" t="shared" si="26" ref="Y9:Y72">ROUND(U9/U$75,8)</f>
        <v>0.00609274</v>
      </c>
      <c r="Z9" s="33">
        <f aca="true" t="shared" si="27" ref="Z9:Z72">ROUND(X9*Y9,8)</f>
        <v>0.00326525</v>
      </c>
      <c r="AA9" s="30">
        <f t="shared" si="6"/>
        <v>3619352</v>
      </c>
      <c r="AB9" s="34">
        <f aca="true" t="shared" si="28" ref="AB9:AB72">ROUND(AA9/W9,4)</f>
        <v>0.1876</v>
      </c>
      <c r="AC9" s="340">
        <f aca="true" t="shared" si="29" ref="AC9:AC72">IF(W9-AA9&gt;0,W9-AA9,0)</f>
        <v>15676288</v>
      </c>
      <c r="AD9" s="34">
        <f aca="true" t="shared" si="30" ref="AD9:AD72">ROUND(AC9/W9,4)</f>
        <v>0.8124</v>
      </c>
      <c r="AE9" s="645">
        <f>'Table 7 Local Revenue'!AL8</f>
        <v>6846489</v>
      </c>
      <c r="AF9" s="30">
        <f aca="true" t="shared" si="31" ref="AF9:AF72">IF(AE9-AA9&gt;0,AE9-AA9,0)</f>
        <v>3227137</v>
      </c>
      <c r="AG9" s="37">
        <f aca="true" t="shared" si="32" ref="AG9:AG72">IF(AE9-AA9&lt;0,AE9-AA9,0)</f>
        <v>0</v>
      </c>
      <c r="AH9" s="30">
        <f t="shared" si="7"/>
        <v>6367561</v>
      </c>
      <c r="AI9" s="35">
        <f aca="true" t="shared" si="33" ref="AI9:AI72">IF(AF9&lt;AH9,AF9,AH9)</f>
        <v>3227137</v>
      </c>
      <c r="AJ9" s="340">
        <f t="shared" si="8"/>
        <v>2189435</v>
      </c>
      <c r="AK9" s="34">
        <f aca="true" t="shared" si="34" ref="AK9:AK72">IF(AI9=0,0,ROUND(AJ9/AI9,4))</f>
        <v>0.6784</v>
      </c>
      <c r="AL9" s="30">
        <f t="shared" si="9"/>
        <v>2130604</v>
      </c>
      <c r="AM9" s="30">
        <f aca="true" t="shared" si="35" ref="AM9:AM72">AI9+AJ9</f>
        <v>5416572</v>
      </c>
      <c r="AN9" s="30">
        <f aca="true" t="shared" si="36" ref="AN9:AN72">+AJ9+AC9</f>
        <v>17865723</v>
      </c>
      <c r="AO9" s="30">
        <f t="shared" si="10"/>
        <v>4260.84</v>
      </c>
      <c r="AP9" s="30">
        <f>'Table 4 Level 3'!Y7</f>
        <v>545090</v>
      </c>
      <c r="AQ9" s="30">
        <f aca="true" t="shared" si="37" ref="AQ9:AQ72">ROUND(AP9/C9,2)</f>
        <v>130</v>
      </c>
      <c r="AR9" s="340">
        <f aca="true" t="shared" si="38" ref="AR9:AR72">+AN9+AP9</f>
        <v>18410813</v>
      </c>
      <c r="AS9" s="37">
        <f>AR9-'Table 2 Distribution &amp; Adjusts'!L6</f>
        <v>968861</v>
      </c>
      <c r="AT9" s="340">
        <f t="shared" si="11"/>
        <v>4390.84</v>
      </c>
      <c r="AU9" s="29">
        <f aca="true" t="shared" si="39" ref="AU9:AU72">RANK(AT9,$AT$8:$AT$73)</f>
        <v>11</v>
      </c>
      <c r="AV9" s="34">
        <f t="shared" si="12"/>
        <v>0.7289</v>
      </c>
      <c r="AW9" s="29">
        <f aca="true" t="shared" si="40" ref="AW9:AW72">RANK(AV9,$AV$8:$AV$73)</f>
        <v>17</v>
      </c>
      <c r="AX9" s="30">
        <f aca="true" t="shared" si="41" ref="AX9:AX72">ROUND(AA9+AI9,2)</f>
        <v>6846489</v>
      </c>
      <c r="AY9" s="30">
        <f t="shared" si="13"/>
        <v>1632.84</v>
      </c>
      <c r="AZ9" s="29">
        <f aca="true" t="shared" si="42" ref="AZ9:AZ72">RANK(AY9,$AY$8:$AY$73)</f>
        <v>46</v>
      </c>
      <c r="BA9" s="34">
        <f aca="true" t="shared" si="43" ref="BA9:BA72">ROUND(AX9/BB9,4)</f>
        <v>0.2711</v>
      </c>
      <c r="BB9" s="30">
        <f t="shared" si="14"/>
        <v>25257302</v>
      </c>
      <c r="BC9" s="30">
        <f t="shared" si="15"/>
        <v>6023.68</v>
      </c>
      <c r="BD9" s="29">
        <f aca="true" t="shared" si="44" ref="BD9:BD72">RANK(BC9,$BC$8:$BC$73)</f>
        <v>33</v>
      </c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</row>
    <row r="10" spans="1:153" s="6" customFormat="1" ht="12.75">
      <c r="A10" s="418">
        <v>3</v>
      </c>
      <c r="B10" s="326" t="s">
        <v>4</v>
      </c>
      <c r="C10" s="29">
        <f>'Table 8 Membership'!U10</f>
        <v>15185</v>
      </c>
      <c r="D10" s="326">
        <v>6360</v>
      </c>
      <c r="E10" s="313">
        <f t="shared" si="16"/>
        <v>3541356</v>
      </c>
      <c r="F10" s="29">
        <f t="shared" si="0"/>
        <v>1081</v>
      </c>
      <c r="G10" s="326">
        <f>'[3]Sheet1'!C5</f>
        <v>3074</v>
      </c>
      <c r="H10" s="313">
        <f t="shared" si="17"/>
        <v>504504</v>
      </c>
      <c r="I10" s="29">
        <f t="shared" si="1"/>
        <v>154</v>
      </c>
      <c r="J10" s="326">
        <f>'[1]Sheet1'!C8</f>
        <v>2456</v>
      </c>
      <c r="K10" s="313">
        <f t="shared" si="18"/>
        <v>12068784</v>
      </c>
      <c r="L10" s="29">
        <f t="shared" si="2"/>
        <v>3684</v>
      </c>
      <c r="M10" s="326">
        <f>'[1]Sheet1'!D8</f>
        <v>347</v>
      </c>
      <c r="N10" s="30">
        <f t="shared" si="19"/>
        <v>681408</v>
      </c>
      <c r="O10" s="29">
        <f t="shared" si="3"/>
        <v>208</v>
      </c>
      <c r="P10" s="29">
        <f t="shared" si="4"/>
        <v>0</v>
      </c>
      <c r="Q10" s="244">
        <f t="shared" si="5"/>
        <v>0</v>
      </c>
      <c r="R10" s="30">
        <f t="shared" si="20"/>
        <v>0</v>
      </c>
      <c r="S10" s="29">
        <f t="shared" si="21"/>
        <v>0</v>
      </c>
      <c r="T10" s="29">
        <f t="shared" si="22"/>
        <v>5127</v>
      </c>
      <c r="U10" s="29">
        <f t="shared" si="23"/>
        <v>20312</v>
      </c>
      <c r="V10" s="30">
        <f t="shared" si="24"/>
        <v>3276</v>
      </c>
      <c r="W10" s="30">
        <f t="shared" si="25"/>
        <v>66542112</v>
      </c>
      <c r="X10" s="33">
        <f>'Table 6 Local Wealth Factor'!L10</f>
        <v>1.20775387</v>
      </c>
      <c r="Y10" s="33">
        <f t="shared" si="26"/>
        <v>0.02101117</v>
      </c>
      <c r="Z10" s="33">
        <f t="shared" si="27"/>
        <v>0.02537632</v>
      </c>
      <c r="AA10" s="30">
        <f t="shared" si="6"/>
        <v>28128274</v>
      </c>
      <c r="AB10" s="34">
        <f t="shared" si="28"/>
        <v>0.4227</v>
      </c>
      <c r="AC10" s="340">
        <f t="shared" si="29"/>
        <v>38413838</v>
      </c>
      <c r="AD10" s="34">
        <f t="shared" si="30"/>
        <v>0.5773</v>
      </c>
      <c r="AE10" s="645">
        <f>'Table 7 Local Revenue'!AL9</f>
        <v>53771072.5</v>
      </c>
      <c r="AF10" s="30">
        <f t="shared" si="31"/>
        <v>25642798.5</v>
      </c>
      <c r="AG10" s="37">
        <f t="shared" si="32"/>
        <v>0</v>
      </c>
      <c r="AH10" s="30">
        <f t="shared" si="7"/>
        <v>21958897</v>
      </c>
      <c r="AI10" s="35">
        <f t="shared" si="33"/>
        <v>21958897</v>
      </c>
      <c r="AJ10" s="340">
        <f t="shared" si="8"/>
        <v>6046331</v>
      </c>
      <c r="AK10" s="34">
        <f t="shared" si="34"/>
        <v>0.2753</v>
      </c>
      <c r="AL10" s="30">
        <f t="shared" si="9"/>
        <v>0</v>
      </c>
      <c r="AM10" s="30">
        <f t="shared" si="35"/>
        <v>28005228</v>
      </c>
      <c r="AN10" s="30">
        <f t="shared" si="36"/>
        <v>44460169</v>
      </c>
      <c r="AO10" s="30">
        <f t="shared" si="10"/>
        <v>2927.9</v>
      </c>
      <c r="AP10" s="30">
        <f>'Table 4 Level 3'!Y8</f>
        <v>15051</v>
      </c>
      <c r="AQ10" s="30">
        <f t="shared" si="37"/>
        <v>0.99</v>
      </c>
      <c r="AR10" s="340">
        <f t="shared" si="38"/>
        <v>44475220</v>
      </c>
      <c r="AS10" s="37">
        <f>AR10-'Table 2 Distribution &amp; Adjusts'!L7</f>
        <v>3177139</v>
      </c>
      <c r="AT10" s="340">
        <f t="shared" si="11"/>
        <v>2928.89</v>
      </c>
      <c r="AU10" s="29">
        <f t="shared" si="39"/>
        <v>57</v>
      </c>
      <c r="AV10" s="34">
        <f t="shared" si="12"/>
        <v>0.4703</v>
      </c>
      <c r="AW10" s="29">
        <f t="shared" si="40"/>
        <v>57</v>
      </c>
      <c r="AX10" s="30">
        <f t="shared" si="41"/>
        <v>50087171</v>
      </c>
      <c r="AY10" s="30">
        <f t="shared" si="13"/>
        <v>3298.46</v>
      </c>
      <c r="AZ10" s="29">
        <f t="shared" si="42"/>
        <v>11</v>
      </c>
      <c r="BA10" s="34">
        <f t="shared" si="43"/>
        <v>0.5297</v>
      </c>
      <c r="BB10" s="30">
        <f t="shared" si="14"/>
        <v>94562391</v>
      </c>
      <c r="BC10" s="30">
        <f t="shared" si="15"/>
        <v>6227.36</v>
      </c>
      <c r="BD10" s="29">
        <f t="shared" si="44"/>
        <v>25</v>
      </c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</row>
    <row r="11" spans="1:153" s="6" customFormat="1" ht="12.75">
      <c r="A11" s="418">
        <v>4</v>
      </c>
      <c r="B11" s="326" t="s">
        <v>5</v>
      </c>
      <c r="C11" s="29">
        <f>'Table 8 Membership'!U11</f>
        <v>4346</v>
      </c>
      <c r="D11" s="326">
        <v>2624</v>
      </c>
      <c r="E11" s="313">
        <f t="shared" si="16"/>
        <v>1461096</v>
      </c>
      <c r="F11" s="29">
        <f t="shared" si="0"/>
        <v>446</v>
      </c>
      <c r="G11" s="326">
        <f>'[3]Sheet1'!C6</f>
        <v>1146</v>
      </c>
      <c r="H11" s="313">
        <f t="shared" si="17"/>
        <v>186732</v>
      </c>
      <c r="I11" s="29">
        <f t="shared" si="1"/>
        <v>57</v>
      </c>
      <c r="J11" s="326">
        <f>'[1]Sheet1'!C9</f>
        <v>619</v>
      </c>
      <c r="K11" s="313">
        <f t="shared" si="18"/>
        <v>3043404</v>
      </c>
      <c r="L11" s="29">
        <f t="shared" si="2"/>
        <v>929</v>
      </c>
      <c r="M11" s="326">
        <f>'[1]Sheet1'!D9</f>
        <v>72</v>
      </c>
      <c r="N11" s="30">
        <f t="shared" si="19"/>
        <v>140868</v>
      </c>
      <c r="O11" s="29">
        <f t="shared" si="3"/>
        <v>43</v>
      </c>
      <c r="P11" s="29">
        <f t="shared" si="4"/>
        <v>3154</v>
      </c>
      <c r="Q11" s="244">
        <f t="shared" si="5"/>
        <v>0.08411</v>
      </c>
      <c r="R11" s="30">
        <f t="shared" si="20"/>
        <v>1199016</v>
      </c>
      <c r="S11" s="29">
        <f t="shared" si="21"/>
        <v>366</v>
      </c>
      <c r="T11" s="29">
        <f t="shared" si="22"/>
        <v>1841</v>
      </c>
      <c r="U11" s="29">
        <f t="shared" si="23"/>
        <v>6187</v>
      </c>
      <c r="V11" s="30">
        <f t="shared" si="24"/>
        <v>3276</v>
      </c>
      <c r="W11" s="30">
        <f t="shared" si="25"/>
        <v>20268612</v>
      </c>
      <c r="X11" s="33">
        <f>'Table 6 Local Wealth Factor'!L11</f>
        <v>0.57911763</v>
      </c>
      <c r="Y11" s="33">
        <f t="shared" si="26"/>
        <v>0.00639997</v>
      </c>
      <c r="Z11" s="33">
        <f t="shared" si="27"/>
        <v>0.00370634</v>
      </c>
      <c r="AA11" s="30">
        <f t="shared" si="6"/>
        <v>4108277</v>
      </c>
      <c r="AB11" s="34">
        <f t="shared" si="28"/>
        <v>0.2027</v>
      </c>
      <c r="AC11" s="340">
        <f t="shared" si="29"/>
        <v>16160335</v>
      </c>
      <c r="AD11" s="34">
        <f t="shared" si="30"/>
        <v>0.7973</v>
      </c>
      <c r="AE11" s="645">
        <f>'Table 7 Local Revenue'!AL10</f>
        <v>8307925</v>
      </c>
      <c r="AF11" s="30">
        <f t="shared" si="31"/>
        <v>4199648</v>
      </c>
      <c r="AG11" s="37">
        <f t="shared" si="32"/>
        <v>0</v>
      </c>
      <c r="AH11" s="30">
        <f t="shared" si="7"/>
        <v>6688642</v>
      </c>
      <c r="AI11" s="35">
        <f t="shared" si="33"/>
        <v>4199648</v>
      </c>
      <c r="AJ11" s="340">
        <f t="shared" si="8"/>
        <v>2740394</v>
      </c>
      <c r="AK11" s="34">
        <f t="shared" si="34"/>
        <v>0.6525</v>
      </c>
      <c r="AL11" s="30">
        <f t="shared" si="9"/>
        <v>1624142</v>
      </c>
      <c r="AM11" s="30">
        <f t="shared" si="35"/>
        <v>6940042</v>
      </c>
      <c r="AN11" s="30">
        <f t="shared" si="36"/>
        <v>18900729</v>
      </c>
      <c r="AO11" s="30">
        <f t="shared" si="10"/>
        <v>4348.99</v>
      </c>
      <c r="AP11" s="30">
        <f>'Table 4 Level 3'!Y9</f>
        <v>168534</v>
      </c>
      <c r="AQ11" s="30">
        <f t="shared" si="37"/>
        <v>38.78</v>
      </c>
      <c r="AR11" s="340">
        <f t="shared" si="38"/>
        <v>19069263</v>
      </c>
      <c r="AS11" s="37">
        <f>AR11-'Table 2 Distribution &amp; Adjusts'!L8</f>
        <v>106766</v>
      </c>
      <c r="AT11" s="340">
        <f t="shared" si="11"/>
        <v>4387.77</v>
      </c>
      <c r="AU11" s="29">
        <f t="shared" si="39"/>
        <v>12</v>
      </c>
      <c r="AV11" s="34">
        <f t="shared" si="12"/>
        <v>0.6965</v>
      </c>
      <c r="AW11" s="29">
        <f t="shared" si="40"/>
        <v>28</v>
      </c>
      <c r="AX11" s="30">
        <f t="shared" si="41"/>
        <v>8307925</v>
      </c>
      <c r="AY11" s="30">
        <f t="shared" si="13"/>
        <v>1911.63</v>
      </c>
      <c r="AZ11" s="29">
        <f t="shared" si="42"/>
        <v>37</v>
      </c>
      <c r="BA11" s="34">
        <f t="shared" si="43"/>
        <v>0.3035</v>
      </c>
      <c r="BB11" s="30">
        <f t="shared" si="14"/>
        <v>27377188</v>
      </c>
      <c r="BC11" s="30">
        <f t="shared" si="15"/>
        <v>6299.4</v>
      </c>
      <c r="BD11" s="29">
        <f t="shared" si="44"/>
        <v>23</v>
      </c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</row>
    <row r="12" spans="1:153" s="49" customFormat="1" ht="12.75">
      <c r="A12" s="419">
        <v>5</v>
      </c>
      <c r="B12" s="329" t="s">
        <v>6</v>
      </c>
      <c r="C12" s="43">
        <f>'Table 8 Membership'!U12</f>
        <v>6551</v>
      </c>
      <c r="D12" s="326">
        <v>4954</v>
      </c>
      <c r="E12" s="313">
        <f t="shared" si="16"/>
        <v>2758392</v>
      </c>
      <c r="F12" s="43">
        <f t="shared" si="0"/>
        <v>842</v>
      </c>
      <c r="G12" s="326">
        <f>'[3]Sheet1'!C7</f>
        <v>2007</v>
      </c>
      <c r="H12" s="313">
        <f t="shared" si="17"/>
        <v>327600</v>
      </c>
      <c r="I12" s="43">
        <f t="shared" si="1"/>
        <v>100</v>
      </c>
      <c r="J12" s="326">
        <f>'[1]Sheet1'!C10</f>
        <v>763</v>
      </c>
      <c r="K12" s="313">
        <f t="shared" si="18"/>
        <v>3751020</v>
      </c>
      <c r="L12" s="43">
        <f t="shared" si="2"/>
        <v>1145</v>
      </c>
      <c r="M12" s="326">
        <f>'[1]Sheet1'!D10</f>
        <v>24</v>
      </c>
      <c r="N12" s="30">
        <f t="shared" si="19"/>
        <v>45864</v>
      </c>
      <c r="O12" s="43">
        <f t="shared" si="3"/>
        <v>14</v>
      </c>
      <c r="P12" s="43">
        <f t="shared" si="4"/>
        <v>949</v>
      </c>
      <c r="Q12" s="245">
        <f t="shared" si="5"/>
        <v>0.02531</v>
      </c>
      <c r="R12" s="44">
        <f t="shared" si="20"/>
        <v>543816</v>
      </c>
      <c r="S12" s="43">
        <f t="shared" si="21"/>
        <v>166</v>
      </c>
      <c r="T12" s="43">
        <f t="shared" si="22"/>
        <v>2267</v>
      </c>
      <c r="U12" s="29">
        <f t="shared" si="23"/>
        <v>8818</v>
      </c>
      <c r="V12" s="44">
        <f t="shared" si="24"/>
        <v>3276</v>
      </c>
      <c r="W12" s="44">
        <f t="shared" si="25"/>
        <v>28887768</v>
      </c>
      <c r="X12" s="46">
        <f>'Table 6 Local Wealth Factor'!L12</f>
        <v>0.49661578</v>
      </c>
      <c r="Y12" s="46">
        <f t="shared" si="26"/>
        <v>0.00912153</v>
      </c>
      <c r="Z12" s="46">
        <f t="shared" si="27"/>
        <v>0.0045299</v>
      </c>
      <c r="AA12" s="44">
        <f t="shared" si="6"/>
        <v>5021148</v>
      </c>
      <c r="AB12" s="47">
        <f t="shared" si="28"/>
        <v>0.1738</v>
      </c>
      <c r="AC12" s="341">
        <f t="shared" si="29"/>
        <v>23866620</v>
      </c>
      <c r="AD12" s="47">
        <f t="shared" si="30"/>
        <v>0.8262</v>
      </c>
      <c r="AE12" s="646">
        <f>'Table 7 Local Revenue'!AL11</f>
        <v>6109205.5</v>
      </c>
      <c r="AF12" s="44">
        <f t="shared" si="31"/>
        <v>1088057.5</v>
      </c>
      <c r="AG12" s="55">
        <f t="shared" si="32"/>
        <v>0</v>
      </c>
      <c r="AH12" s="44">
        <f t="shared" si="7"/>
        <v>9532963</v>
      </c>
      <c r="AI12" s="48">
        <f t="shared" si="33"/>
        <v>1088057.5</v>
      </c>
      <c r="AJ12" s="341">
        <f t="shared" si="8"/>
        <v>763850</v>
      </c>
      <c r="AK12" s="47">
        <f t="shared" si="34"/>
        <v>0.702</v>
      </c>
      <c r="AL12" s="44">
        <f t="shared" si="9"/>
        <v>5928581</v>
      </c>
      <c r="AM12" s="44">
        <f t="shared" si="35"/>
        <v>1851907.5</v>
      </c>
      <c r="AN12" s="44">
        <f t="shared" si="36"/>
        <v>24630470</v>
      </c>
      <c r="AO12" s="44">
        <f t="shared" si="10"/>
        <v>3759.8</v>
      </c>
      <c r="AP12" s="44">
        <f>'Table 4 Level 3'!Y10</f>
        <v>812324</v>
      </c>
      <c r="AQ12" s="44">
        <f t="shared" si="37"/>
        <v>124</v>
      </c>
      <c r="AR12" s="341">
        <f t="shared" si="38"/>
        <v>25442794</v>
      </c>
      <c r="AS12" s="55">
        <f>AR12-'Table 2 Distribution &amp; Adjusts'!L9</f>
        <v>534537</v>
      </c>
      <c r="AT12" s="341">
        <f t="shared" si="11"/>
        <v>3883.8</v>
      </c>
      <c r="AU12" s="43">
        <f t="shared" si="39"/>
        <v>34</v>
      </c>
      <c r="AV12" s="47">
        <f t="shared" si="12"/>
        <v>0.8064</v>
      </c>
      <c r="AW12" s="43">
        <f t="shared" si="40"/>
        <v>5</v>
      </c>
      <c r="AX12" s="44">
        <f t="shared" si="41"/>
        <v>6109205.5</v>
      </c>
      <c r="AY12" s="44">
        <f t="shared" si="13"/>
        <v>932.56</v>
      </c>
      <c r="AZ12" s="43">
        <f t="shared" si="42"/>
        <v>63</v>
      </c>
      <c r="BA12" s="47">
        <f t="shared" si="43"/>
        <v>0.1936</v>
      </c>
      <c r="BB12" s="44">
        <f t="shared" si="14"/>
        <v>31551999.5</v>
      </c>
      <c r="BC12" s="44">
        <f t="shared" si="15"/>
        <v>4816.36</v>
      </c>
      <c r="BD12" s="43">
        <f t="shared" si="44"/>
        <v>65</v>
      </c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</row>
    <row r="13" spans="1:153" s="6" customFormat="1" ht="12.75">
      <c r="A13" s="418">
        <v>6</v>
      </c>
      <c r="B13" s="326" t="s">
        <v>7</v>
      </c>
      <c r="C13" s="29">
        <f>'Table 8 Membership'!U13</f>
        <v>6062</v>
      </c>
      <c r="D13" s="326">
        <v>2675</v>
      </c>
      <c r="E13" s="313">
        <f t="shared" si="16"/>
        <v>1490580</v>
      </c>
      <c r="F13" s="29">
        <f t="shared" si="0"/>
        <v>455</v>
      </c>
      <c r="G13" s="326">
        <f>'[3]Sheet1'!C8</f>
        <v>1979</v>
      </c>
      <c r="H13" s="313">
        <f t="shared" si="17"/>
        <v>324324</v>
      </c>
      <c r="I13" s="29">
        <f t="shared" si="1"/>
        <v>99</v>
      </c>
      <c r="J13" s="326">
        <f>'[1]Sheet1'!C11</f>
        <v>769</v>
      </c>
      <c r="K13" s="313">
        <f t="shared" si="18"/>
        <v>3780504</v>
      </c>
      <c r="L13" s="29">
        <f t="shared" si="2"/>
        <v>1154</v>
      </c>
      <c r="M13" s="326">
        <f>'[1]Sheet1'!D11</f>
        <v>136</v>
      </c>
      <c r="N13" s="30">
        <f t="shared" si="19"/>
        <v>268632</v>
      </c>
      <c r="O13" s="29">
        <f t="shared" si="3"/>
        <v>82</v>
      </c>
      <c r="P13" s="29">
        <f t="shared" si="4"/>
        <v>1438</v>
      </c>
      <c r="Q13" s="244">
        <f t="shared" si="5"/>
        <v>0.03835</v>
      </c>
      <c r="R13" s="30">
        <f t="shared" si="20"/>
        <v>760032</v>
      </c>
      <c r="S13" s="29">
        <f t="shared" si="21"/>
        <v>232</v>
      </c>
      <c r="T13" s="29">
        <f t="shared" si="22"/>
        <v>2022</v>
      </c>
      <c r="U13" s="104">
        <f t="shared" si="23"/>
        <v>8084</v>
      </c>
      <c r="V13" s="30">
        <f t="shared" si="24"/>
        <v>3276</v>
      </c>
      <c r="W13" s="30">
        <f t="shared" si="25"/>
        <v>26483184</v>
      </c>
      <c r="X13" s="33">
        <f>'Table 6 Local Wealth Factor'!L13</f>
        <v>0.73859756</v>
      </c>
      <c r="Y13" s="33">
        <f t="shared" si="26"/>
        <v>0.00836226</v>
      </c>
      <c r="Z13" s="33">
        <f t="shared" si="27"/>
        <v>0.00617634</v>
      </c>
      <c r="AA13" s="30">
        <f t="shared" si="6"/>
        <v>6846138</v>
      </c>
      <c r="AB13" s="34">
        <f t="shared" si="28"/>
        <v>0.2585</v>
      </c>
      <c r="AC13" s="340">
        <f t="shared" si="29"/>
        <v>19637046</v>
      </c>
      <c r="AD13" s="34">
        <f t="shared" si="30"/>
        <v>0.7415</v>
      </c>
      <c r="AE13" s="645">
        <f>'Table 7 Local Revenue'!AL12</f>
        <v>12657405</v>
      </c>
      <c r="AF13" s="30">
        <f t="shared" si="31"/>
        <v>5811267</v>
      </c>
      <c r="AG13" s="37">
        <f t="shared" si="32"/>
        <v>0</v>
      </c>
      <c r="AH13" s="30">
        <f t="shared" si="7"/>
        <v>8739451</v>
      </c>
      <c r="AI13" s="35">
        <f t="shared" si="33"/>
        <v>5811267</v>
      </c>
      <c r="AJ13" s="340">
        <f t="shared" si="8"/>
        <v>3235954</v>
      </c>
      <c r="AK13" s="34">
        <f t="shared" si="34"/>
        <v>0.5568</v>
      </c>
      <c r="AL13" s="30">
        <f t="shared" si="9"/>
        <v>1630535</v>
      </c>
      <c r="AM13" s="30">
        <f t="shared" si="35"/>
        <v>9047221</v>
      </c>
      <c r="AN13" s="30">
        <f t="shared" si="36"/>
        <v>22873000</v>
      </c>
      <c r="AO13" s="30">
        <f t="shared" si="10"/>
        <v>3773.18</v>
      </c>
      <c r="AP13" s="30">
        <f>'Table 4 Level 3'!Y11</f>
        <v>212170</v>
      </c>
      <c r="AQ13" s="30">
        <f t="shared" si="37"/>
        <v>35</v>
      </c>
      <c r="AR13" s="340">
        <f t="shared" si="38"/>
        <v>23085170</v>
      </c>
      <c r="AS13" s="37">
        <f>AR13-'Table 2 Distribution &amp; Adjusts'!L10</f>
        <v>1268941</v>
      </c>
      <c r="AT13" s="340">
        <f t="shared" si="11"/>
        <v>3808.18</v>
      </c>
      <c r="AU13" s="29">
        <f t="shared" si="39"/>
        <v>37</v>
      </c>
      <c r="AV13" s="34">
        <f t="shared" si="12"/>
        <v>0.6459</v>
      </c>
      <c r="AW13" s="29">
        <f t="shared" si="40"/>
        <v>37</v>
      </c>
      <c r="AX13" s="30">
        <f t="shared" si="41"/>
        <v>12657405</v>
      </c>
      <c r="AY13" s="30">
        <f t="shared" si="13"/>
        <v>2087.99</v>
      </c>
      <c r="AZ13" s="29">
        <f t="shared" si="42"/>
        <v>32</v>
      </c>
      <c r="BA13" s="34">
        <f t="shared" si="43"/>
        <v>0.3541</v>
      </c>
      <c r="BB13" s="30">
        <f t="shared" si="14"/>
        <v>35742575</v>
      </c>
      <c r="BC13" s="30">
        <f t="shared" si="15"/>
        <v>5896.17</v>
      </c>
      <c r="BD13" s="29">
        <f t="shared" si="44"/>
        <v>38</v>
      </c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</row>
    <row r="14" spans="1:153" s="6" customFormat="1" ht="12.75">
      <c r="A14" s="418">
        <v>7</v>
      </c>
      <c r="B14" s="326" t="s">
        <v>8</v>
      </c>
      <c r="C14" s="29">
        <f>'Table 8 Membership'!U14</f>
        <v>2450</v>
      </c>
      <c r="D14" s="326">
        <v>1617</v>
      </c>
      <c r="E14" s="313">
        <f t="shared" si="16"/>
        <v>900900</v>
      </c>
      <c r="F14" s="29">
        <f t="shared" si="0"/>
        <v>275</v>
      </c>
      <c r="G14" s="326">
        <f>'[3]Sheet1'!C9</f>
        <v>1132</v>
      </c>
      <c r="H14" s="313">
        <f t="shared" si="17"/>
        <v>186732</v>
      </c>
      <c r="I14" s="29">
        <f t="shared" si="1"/>
        <v>57</v>
      </c>
      <c r="J14" s="326">
        <f>'[1]Sheet1'!C12</f>
        <v>368</v>
      </c>
      <c r="K14" s="313">
        <f t="shared" si="18"/>
        <v>1808352</v>
      </c>
      <c r="L14" s="29">
        <f t="shared" si="2"/>
        <v>552</v>
      </c>
      <c r="M14" s="326">
        <f>'[1]Sheet1'!D12</f>
        <v>20</v>
      </c>
      <c r="N14" s="30">
        <f t="shared" si="19"/>
        <v>39312</v>
      </c>
      <c r="O14" s="29">
        <f t="shared" si="3"/>
        <v>12</v>
      </c>
      <c r="P14" s="29">
        <f t="shared" si="4"/>
        <v>5050</v>
      </c>
      <c r="Q14" s="244">
        <f t="shared" si="5"/>
        <v>0.13467</v>
      </c>
      <c r="R14" s="30">
        <f t="shared" si="20"/>
        <v>1081080</v>
      </c>
      <c r="S14" s="29">
        <f t="shared" si="21"/>
        <v>330</v>
      </c>
      <c r="T14" s="29">
        <f t="shared" si="22"/>
        <v>1226</v>
      </c>
      <c r="U14" s="29">
        <f t="shared" si="23"/>
        <v>3676</v>
      </c>
      <c r="V14" s="30">
        <f t="shared" si="24"/>
        <v>3276</v>
      </c>
      <c r="W14" s="30">
        <f t="shared" si="25"/>
        <v>12042576</v>
      </c>
      <c r="X14" s="33">
        <f>'Table 6 Local Wealth Factor'!L14</f>
        <v>1.06783863</v>
      </c>
      <c r="Y14" s="33">
        <f t="shared" si="26"/>
        <v>0.00380253</v>
      </c>
      <c r="Z14" s="33">
        <f t="shared" si="27"/>
        <v>0.00406049</v>
      </c>
      <c r="AA14" s="30">
        <f t="shared" si="6"/>
        <v>4500833</v>
      </c>
      <c r="AB14" s="34">
        <f t="shared" si="28"/>
        <v>0.3737</v>
      </c>
      <c r="AC14" s="340">
        <f t="shared" si="29"/>
        <v>7541743</v>
      </c>
      <c r="AD14" s="34">
        <f t="shared" si="30"/>
        <v>0.6263</v>
      </c>
      <c r="AE14" s="645">
        <f>'Table 7 Local Revenue'!AL13</f>
        <v>7551337.5</v>
      </c>
      <c r="AF14" s="30">
        <f t="shared" si="31"/>
        <v>3050504.5</v>
      </c>
      <c r="AG14" s="37">
        <f t="shared" si="32"/>
        <v>0</v>
      </c>
      <c r="AH14" s="30">
        <f t="shared" si="7"/>
        <v>3974050</v>
      </c>
      <c r="AI14" s="35">
        <f t="shared" si="33"/>
        <v>3050504.5</v>
      </c>
      <c r="AJ14" s="340">
        <f t="shared" si="8"/>
        <v>1096037</v>
      </c>
      <c r="AK14" s="34">
        <f t="shared" si="34"/>
        <v>0.3593</v>
      </c>
      <c r="AL14" s="30">
        <f t="shared" si="9"/>
        <v>331827</v>
      </c>
      <c r="AM14" s="30">
        <f t="shared" si="35"/>
        <v>4146541.5</v>
      </c>
      <c r="AN14" s="30">
        <f t="shared" si="36"/>
        <v>8637780</v>
      </c>
      <c r="AO14" s="30">
        <f t="shared" si="10"/>
        <v>3525.62</v>
      </c>
      <c r="AP14" s="30">
        <f>'Table 4 Level 3'!Y12</f>
        <v>83300</v>
      </c>
      <c r="AQ14" s="30">
        <f t="shared" si="37"/>
        <v>34</v>
      </c>
      <c r="AR14" s="340">
        <f t="shared" si="38"/>
        <v>8721080</v>
      </c>
      <c r="AS14" s="37">
        <f>AR14-'Table 2 Distribution &amp; Adjusts'!L11</f>
        <v>507230</v>
      </c>
      <c r="AT14" s="340">
        <f t="shared" si="11"/>
        <v>3559.62</v>
      </c>
      <c r="AU14" s="29">
        <f t="shared" si="39"/>
        <v>47</v>
      </c>
      <c r="AV14" s="34">
        <f t="shared" si="12"/>
        <v>0.5359</v>
      </c>
      <c r="AW14" s="29">
        <f t="shared" si="40"/>
        <v>51</v>
      </c>
      <c r="AX14" s="30">
        <f t="shared" si="41"/>
        <v>7551337.5</v>
      </c>
      <c r="AY14" s="30">
        <f t="shared" si="13"/>
        <v>3082.18</v>
      </c>
      <c r="AZ14" s="29">
        <f t="shared" si="42"/>
        <v>13</v>
      </c>
      <c r="BA14" s="34">
        <f t="shared" si="43"/>
        <v>0.4641</v>
      </c>
      <c r="BB14" s="30">
        <f t="shared" si="14"/>
        <v>16272417.5</v>
      </c>
      <c r="BC14" s="30">
        <f t="shared" si="15"/>
        <v>6641.8</v>
      </c>
      <c r="BD14" s="29">
        <f t="shared" si="44"/>
        <v>12</v>
      </c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</row>
    <row r="15" spans="1:153" s="6" customFormat="1" ht="12.75">
      <c r="A15" s="418">
        <v>8</v>
      </c>
      <c r="B15" s="326" t="s">
        <v>9</v>
      </c>
      <c r="C15" s="29">
        <f>'Table 8 Membership'!U15</f>
        <v>18622</v>
      </c>
      <c r="D15" s="326">
        <v>7518</v>
      </c>
      <c r="E15" s="313">
        <f t="shared" si="16"/>
        <v>4186728</v>
      </c>
      <c r="F15" s="29">
        <f t="shared" si="0"/>
        <v>1278</v>
      </c>
      <c r="G15" s="326">
        <f>'[3]Sheet1'!C10</f>
        <v>5122</v>
      </c>
      <c r="H15" s="313">
        <f t="shared" si="17"/>
        <v>838656</v>
      </c>
      <c r="I15" s="29">
        <f t="shared" si="1"/>
        <v>256</v>
      </c>
      <c r="J15" s="326">
        <f>'[1]Sheet1'!C13</f>
        <v>2220</v>
      </c>
      <c r="K15" s="313">
        <f t="shared" si="18"/>
        <v>10909080</v>
      </c>
      <c r="L15" s="29">
        <f t="shared" si="2"/>
        <v>3330</v>
      </c>
      <c r="M15" s="326">
        <f>'[1]Sheet1'!D13</f>
        <v>515</v>
      </c>
      <c r="N15" s="30">
        <f t="shared" si="19"/>
        <v>1012284</v>
      </c>
      <c r="O15" s="29">
        <f t="shared" si="3"/>
        <v>309</v>
      </c>
      <c r="P15" s="29">
        <f t="shared" si="4"/>
        <v>0</v>
      </c>
      <c r="Q15" s="244">
        <f t="shared" si="5"/>
        <v>0</v>
      </c>
      <c r="R15" s="30">
        <f t="shared" si="20"/>
        <v>0</v>
      </c>
      <c r="S15" s="29">
        <f t="shared" si="21"/>
        <v>0</v>
      </c>
      <c r="T15" s="29">
        <f t="shared" si="22"/>
        <v>5173</v>
      </c>
      <c r="U15" s="29">
        <f t="shared" si="23"/>
        <v>23795</v>
      </c>
      <c r="V15" s="30">
        <f t="shared" si="24"/>
        <v>3276</v>
      </c>
      <c r="W15" s="30">
        <f t="shared" si="25"/>
        <v>77952420</v>
      </c>
      <c r="X15" s="33">
        <f>'Table 6 Local Wealth Factor'!L15</f>
        <v>0.94277177</v>
      </c>
      <c r="Y15" s="33">
        <f t="shared" si="26"/>
        <v>0.02461406</v>
      </c>
      <c r="Z15" s="33">
        <f t="shared" si="27"/>
        <v>0.02320544</v>
      </c>
      <c r="AA15" s="30">
        <f t="shared" si="6"/>
        <v>25721971</v>
      </c>
      <c r="AB15" s="34">
        <f t="shared" si="28"/>
        <v>0.33</v>
      </c>
      <c r="AC15" s="340">
        <f t="shared" si="29"/>
        <v>52230449</v>
      </c>
      <c r="AD15" s="34">
        <f t="shared" si="30"/>
        <v>0.67</v>
      </c>
      <c r="AE15" s="645">
        <f>'Table 7 Local Revenue'!AL14</f>
        <v>41902539.5</v>
      </c>
      <c r="AF15" s="30">
        <f t="shared" si="31"/>
        <v>16180568.5</v>
      </c>
      <c r="AG15" s="37">
        <f t="shared" si="32"/>
        <v>0</v>
      </c>
      <c r="AH15" s="30">
        <f t="shared" si="7"/>
        <v>25724299</v>
      </c>
      <c r="AI15" s="35">
        <f t="shared" si="33"/>
        <v>16180568.5</v>
      </c>
      <c r="AJ15" s="340">
        <f t="shared" si="8"/>
        <v>7027819</v>
      </c>
      <c r="AK15" s="34">
        <f t="shared" si="34"/>
        <v>0.4343</v>
      </c>
      <c r="AL15" s="30">
        <f t="shared" si="9"/>
        <v>4145194</v>
      </c>
      <c r="AM15" s="30">
        <f t="shared" si="35"/>
        <v>23208387.5</v>
      </c>
      <c r="AN15" s="30">
        <f t="shared" si="36"/>
        <v>59258268</v>
      </c>
      <c r="AO15" s="30">
        <f t="shared" si="10"/>
        <v>3182.16</v>
      </c>
      <c r="AP15" s="30">
        <f>'Table 4 Level 3'!Y13</f>
        <v>2730292</v>
      </c>
      <c r="AQ15" s="30">
        <f t="shared" si="37"/>
        <v>146.62</v>
      </c>
      <c r="AR15" s="340">
        <f t="shared" si="38"/>
        <v>61988560</v>
      </c>
      <c r="AS15" s="37">
        <f>AR15-'Table 2 Distribution &amp; Adjusts'!L12</f>
        <v>2552231</v>
      </c>
      <c r="AT15" s="340">
        <f t="shared" si="11"/>
        <v>3328.78</v>
      </c>
      <c r="AU15" s="29">
        <f t="shared" si="39"/>
        <v>53</v>
      </c>
      <c r="AV15" s="34">
        <f t="shared" si="12"/>
        <v>0.5967</v>
      </c>
      <c r="AW15" s="29">
        <f t="shared" si="40"/>
        <v>44</v>
      </c>
      <c r="AX15" s="30">
        <f t="shared" si="41"/>
        <v>41902539.5</v>
      </c>
      <c r="AY15" s="30">
        <f t="shared" si="13"/>
        <v>2250.16</v>
      </c>
      <c r="AZ15" s="29">
        <f t="shared" si="42"/>
        <v>27</v>
      </c>
      <c r="BA15" s="34">
        <f t="shared" si="43"/>
        <v>0.4033</v>
      </c>
      <c r="BB15" s="30">
        <f t="shared" si="14"/>
        <v>103891099.5</v>
      </c>
      <c r="BC15" s="30">
        <f t="shared" si="15"/>
        <v>5578.94</v>
      </c>
      <c r="BD15" s="29">
        <f t="shared" si="44"/>
        <v>50</v>
      </c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</row>
    <row r="16" spans="1:153" s="6" customFormat="1" ht="12.75">
      <c r="A16" s="418">
        <v>9</v>
      </c>
      <c r="B16" s="326" t="s">
        <v>10</v>
      </c>
      <c r="C16" s="29">
        <f>'Table 8 Membership'!U16</f>
        <v>43727</v>
      </c>
      <c r="D16" s="326">
        <v>23908</v>
      </c>
      <c r="E16" s="313">
        <f t="shared" si="16"/>
        <v>13313664</v>
      </c>
      <c r="F16" s="29">
        <f t="shared" si="0"/>
        <v>4064</v>
      </c>
      <c r="G16" s="326">
        <f>'[3]Sheet1'!C11</f>
        <v>9646</v>
      </c>
      <c r="H16" s="313">
        <f t="shared" si="17"/>
        <v>1579032</v>
      </c>
      <c r="I16" s="29">
        <f t="shared" si="1"/>
        <v>482</v>
      </c>
      <c r="J16" s="326">
        <f>'[1]Sheet1'!C14</f>
        <v>6214</v>
      </c>
      <c r="K16" s="313">
        <f t="shared" si="18"/>
        <v>30535596</v>
      </c>
      <c r="L16" s="29">
        <f t="shared" si="2"/>
        <v>9321</v>
      </c>
      <c r="M16" s="326">
        <f>'[1]Sheet1'!D14</f>
        <v>1495</v>
      </c>
      <c r="N16" s="30">
        <f t="shared" si="19"/>
        <v>2938572</v>
      </c>
      <c r="O16" s="29">
        <f t="shared" si="3"/>
        <v>897</v>
      </c>
      <c r="P16" s="29">
        <f t="shared" si="4"/>
        <v>0</v>
      </c>
      <c r="Q16" s="244">
        <f t="shared" si="5"/>
        <v>0</v>
      </c>
      <c r="R16" s="30">
        <f t="shared" si="20"/>
        <v>0</v>
      </c>
      <c r="S16" s="29">
        <f t="shared" si="21"/>
        <v>0</v>
      </c>
      <c r="T16" s="29">
        <f t="shared" si="22"/>
        <v>14764</v>
      </c>
      <c r="U16" s="29">
        <f t="shared" si="23"/>
        <v>58491</v>
      </c>
      <c r="V16" s="30">
        <f t="shared" si="24"/>
        <v>3276</v>
      </c>
      <c r="W16" s="30">
        <f t="shared" si="25"/>
        <v>191616516</v>
      </c>
      <c r="X16" s="33">
        <f>'Table 6 Local Wealth Factor'!L16</f>
        <v>0.89495042</v>
      </c>
      <c r="Y16" s="33">
        <f t="shared" si="26"/>
        <v>0.06050434</v>
      </c>
      <c r="Z16" s="33">
        <f t="shared" si="27"/>
        <v>0.05414838</v>
      </c>
      <c r="AA16" s="30">
        <f t="shared" si="6"/>
        <v>60020541</v>
      </c>
      <c r="AB16" s="34">
        <f t="shared" si="28"/>
        <v>0.3132</v>
      </c>
      <c r="AC16" s="340">
        <f t="shared" si="29"/>
        <v>131595975</v>
      </c>
      <c r="AD16" s="34">
        <f t="shared" si="30"/>
        <v>0.6868</v>
      </c>
      <c r="AE16" s="645">
        <f>'Table 7 Local Revenue'!AL15</f>
        <v>123026667</v>
      </c>
      <c r="AF16" s="30">
        <f t="shared" si="31"/>
        <v>63006126</v>
      </c>
      <c r="AG16" s="37">
        <f t="shared" si="32"/>
        <v>0</v>
      </c>
      <c r="AH16" s="30">
        <f t="shared" si="7"/>
        <v>63233450</v>
      </c>
      <c r="AI16" s="35">
        <f t="shared" si="33"/>
        <v>63006126</v>
      </c>
      <c r="AJ16" s="340">
        <f t="shared" si="8"/>
        <v>29173711</v>
      </c>
      <c r="AK16" s="34">
        <f t="shared" si="34"/>
        <v>0.463</v>
      </c>
      <c r="AL16" s="30">
        <f t="shared" si="9"/>
        <v>105257</v>
      </c>
      <c r="AM16" s="30">
        <f t="shared" si="35"/>
        <v>92179837</v>
      </c>
      <c r="AN16" s="30">
        <f t="shared" si="36"/>
        <v>160769686</v>
      </c>
      <c r="AO16" s="30">
        <f t="shared" si="10"/>
        <v>3676.67</v>
      </c>
      <c r="AP16" s="30">
        <f>'Table 4 Level 3'!Y14</f>
        <v>2789182.5</v>
      </c>
      <c r="AQ16" s="30">
        <f t="shared" si="37"/>
        <v>63.79</v>
      </c>
      <c r="AR16" s="340">
        <f t="shared" si="38"/>
        <v>163558868.5</v>
      </c>
      <c r="AS16" s="37">
        <f>AR16-'Table 2 Distribution &amp; Adjusts'!L13</f>
        <v>6513538.5</v>
      </c>
      <c r="AT16" s="340">
        <f t="shared" si="11"/>
        <v>3740.45</v>
      </c>
      <c r="AU16" s="29">
        <f t="shared" si="39"/>
        <v>40</v>
      </c>
      <c r="AV16" s="34">
        <f t="shared" si="12"/>
        <v>0.5707</v>
      </c>
      <c r="AW16" s="29">
        <f t="shared" si="40"/>
        <v>47</v>
      </c>
      <c r="AX16" s="30">
        <f t="shared" si="41"/>
        <v>123026667</v>
      </c>
      <c r="AY16" s="30">
        <f t="shared" si="13"/>
        <v>2813.52</v>
      </c>
      <c r="AZ16" s="29">
        <f t="shared" si="42"/>
        <v>20</v>
      </c>
      <c r="BA16" s="34">
        <f t="shared" si="43"/>
        <v>0.4293</v>
      </c>
      <c r="BB16" s="30">
        <f t="shared" si="14"/>
        <v>286585535.5</v>
      </c>
      <c r="BC16" s="30">
        <f t="shared" si="15"/>
        <v>6553.97</v>
      </c>
      <c r="BD16" s="29">
        <f t="shared" si="44"/>
        <v>14</v>
      </c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</row>
    <row r="17" spans="1:153" s="49" customFormat="1" ht="12.75">
      <c r="A17" s="419">
        <v>10</v>
      </c>
      <c r="B17" s="329" t="s">
        <v>11</v>
      </c>
      <c r="C17" s="43">
        <f>'Table 8 Membership'!U17</f>
        <v>31523</v>
      </c>
      <c r="D17" s="326">
        <v>14217</v>
      </c>
      <c r="E17" s="313">
        <f t="shared" si="16"/>
        <v>7918092</v>
      </c>
      <c r="F17" s="43">
        <f t="shared" si="0"/>
        <v>2417</v>
      </c>
      <c r="G17" s="326">
        <f>'[3]Sheet1'!C12</f>
        <v>6161</v>
      </c>
      <c r="H17" s="313">
        <f t="shared" si="17"/>
        <v>1009008</v>
      </c>
      <c r="I17" s="43">
        <f t="shared" si="1"/>
        <v>308</v>
      </c>
      <c r="J17" s="326">
        <f>'[1]Sheet1'!C15</f>
        <v>4757</v>
      </c>
      <c r="K17" s="313">
        <f t="shared" si="18"/>
        <v>23377536</v>
      </c>
      <c r="L17" s="43">
        <f t="shared" si="2"/>
        <v>7136</v>
      </c>
      <c r="M17" s="326">
        <f>'[1]Sheet1'!D15</f>
        <v>1021</v>
      </c>
      <c r="N17" s="30">
        <f t="shared" si="19"/>
        <v>2008188</v>
      </c>
      <c r="O17" s="43">
        <f t="shared" si="3"/>
        <v>613</v>
      </c>
      <c r="P17" s="43">
        <f t="shared" si="4"/>
        <v>0</v>
      </c>
      <c r="Q17" s="245">
        <f t="shared" si="5"/>
        <v>0</v>
      </c>
      <c r="R17" s="44">
        <f t="shared" si="20"/>
        <v>0</v>
      </c>
      <c r="S17" s="43">
        <f t="shared" si="21"/>
        <v>0</v>
      </c>
      <c r="T17" s="43">
        <f t="shared" si="22"/>
        <v>10474</v>
      </c>
      <c r="U17" s="29">
        <f t="shared" si="23"/>
        <v>41997</v>
      </c>
      <c r="V17" s="44">
        <f t="shared" si="24"/>
        <v>3276</v>
      </c>
      <c r="W17" s="44">
        <f t="shared" si="25"/>
        <v>137582172</v>
      </c>
      <c r="X17" s="46">
        <f>'Table 6 Local Wealth Factor'!L17</f>
        <v>1.17167956</v>
      </c>
      <c r="Y17" s="46">
        <f t="shared" si="26"/>
        <v>0.0434426</v>
      </c>
      <c r="Z17" s="46">
        <f t="shared" si="27"/>
        <v>0.05090081</v>
      </c>
      <c r="AA17" s="44">
        <f t="shared" si="6"/>
        <v>56420786</v>
      </c>
      <c r="AB17" s="47">
        <f t="shared" si="28"/>
        <v>0.4101</v>
      </c>
      <c r="AC17" s="341">
        <f t="shared" si="29"/>
        <v>81161386</v>
      </c>
      <c r="AD17" s="47">
        <f t="shared" si="30"/>
        <v>0.5899</v>
      </c>
      <c r="AE17" s="646">
        <f>'Table 7 Local Revenue'!AL16</f>
        <v>96257950</v>
      </c>
      <c r="AF17" s="44">
        <f t="shared" si="31"/>
        <v>39837164</v>
      </c>
      <c r="AG17" s="55">
        <f t="shared" si="32"/>
        <v>0</v>
      </c>
      <c r="AH17" s="44">
        <f t="shared" si="7"/>
        <v>45402117</v>
      </c>
      <c r="AI17" s="48">
        <f t="shared" si="33"/>
        <v>39837164</v>
      </c>
      <c r="AJ17" s="341">
        <f t="shared" si="8"/>
        <v>11831330</v>
      </c>
      <c r="AK17" s="47">
        <f t="shared" si="34"/>
        <v>0.297</v>
      </c>
      <c r="AL17" s="44">
        <f t="shared" si="9"/>
        <v>1652748</v>
      </c>
      <c r="AM17" s="44">
        <f t="shared" si="35"/>
        <v>51668494</v>
      </c>
      <c r="AN17" s="44">
        <f t="shared" si="36"/>
        <v>92992716</v>
      </c>
      <c r="AO17" s="44">
        <f t="shared" si="10"/>
        <v>2950</v>
      </c>
      <c r="AP17" s="44">
        <f>'Table 4 Level 3'!Y15</f>
        <v>1162931</v>
      </c>
      <c r="AQ17" s="44">
        <f t="shared" si="37"/>
        <v>36.89</v>
      </c>
      <c r="AR17" s="341">
        <f t="shared" si="38"/>
        <v>94155647</v>
      </c>
      <c r="AS17" s="55">
        <f>AR17-'Table 2 Distribution &amp; Adjusts'!L14</f>
        <v>3510660</v>
      </c>
      <c r="AT17" s="341">
        <f t="shared" si="11"/>
        <v>2986.89</v>
      </c>
      <c r="AU17" s="43">
        <f t="shared" si="39"/>
        <v>56</v>
      </c>
      <c r="AV17" s="47">
        <f t="shared" si="12"/>
        <v>0.4945</v>
      </c>
      <c r="AW17" s="43">
        <f t="shared" si="40"/>
        <v>53</v>
      </c>
      <c r="AX17" s="44">
        <f t="shared" si="41"/>
        <v>96257950</v>
      </c>
      <c r="AY17" s="44">
        <f t="shared" si="13"/>
        <v>3053.58</v>
      </c>
      <c r="AZ17" s="43">
        <f t="shared" si="42"/>
        <v>14</v>
      </c>
      <c r="BA17" s="47">
        <f t="shared" si="43"/>
        <v>0.5055</v>
      </c>
      <c r="BB17" s="44">
        <f t="shared" si="14"/>
        <v>190413597</v>
      </c>
      <c r="BC17" s="44">
        <f t="shared" si="15"/>
        <v>6040.47</v>
      </c>
      <c r="BD17" s="43">
        <f t="shared" si="44"/>
        <v>31</v>
      </c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</row>
    <row r="18" spans="1:153" s="6" customFormat="1" ht="12.75">
      <c r="A18" s="418">
        <v>11</v>
      </c>
      <c r="B18" s="326" t="s">
        <v>12</v>
      </c>
      <c r="C18" s="29">
        <f>'Table 8 Membership'!U18</f>
        <v>1809</v>
      </c>
      <c r="D18" s="326">
        <v>1031</v>
      </c>
      <c r="E18" s="313">
        <f t="shared" si="16"/>
        <v>573300</v>
      </c>
      <c r="F18" s="29">
        <f t="shared" si="0"/>
        <v>175</v>
      </c>
      <c r="G18" s="326">
        <f>'[3]Sheet1'!C13</f>
        <v>637</v>
      </c>
      <c r="H18" s="313">
        <f t="shared" si="17"/>
        <v>104832</v>
      </c>
      <c r="I18" s="29">
        <f t="shared" si="1"/>
        <v>32</v>
      </c>
      <c r="J18" s="326">
        <f>'[1]Sheet1'!C16</f>
        <v>243</v>
      </c>
      <c r="K18" s="313">
        <f t="shared" si="18"/>
        <v>1195740</v>
      </c>
      <c r="L18" s="29">
        <f t="shared" si="2"/>
        <v>365</v>
      </c>
      <c r="M18" s="326">
        <f>'[1]Sheet1'!D16</f>
        <v>30</v>
      </c>
      <c r="N18" s="30">
        <f t="shared" si="19"/>
        <v>58968</v>
      </c>
      <c r="O18" s="29">
        <f t="shared" si="3"/>
        <v>18</v>
      </c>
      <c r="P18" s="29">
        <f t="shared" si="4"/>
        <v>5691</v>
      </c>
      <c r="Q18" s="244">
        <f t="shared" si="5"/>
        <v>0.15176</v>
      </c>
      <c r="R18" s="30">
        <f t="shared" si="20"/>
        <v>900900</v>
      </c>
      <c r="S18" s="29">
        <f t="shared" si="21"/>
        <v>275</v>
      </c>
      <c r="T18" s="29">
        <f t="shared" si="22"/>
        <v>865</v>
      </c>
      <c r="U18" s="104">
        <f t="shared" si="23"/>
        <v>2674</v>
      </c>
      <c r="V18" s="30">
        <f t="shared" si="24"/>
        <v>3276</v>
      </c>
      <c r="W18" s="30">
        <f t="shared" si="25"/>
        <v>8760024</v>
      </c>
      <c r="X18" s="33">
        <f>'Table 6 Local Wealth Factor'!L18</f>
        <v>0.48615454</v>
      </c>
      <c r="Y18" s="33">
        <f t="shared" si="26"/>
        <v>0.00276604</v>
      </c>
      <c r="Z18" s="33">
        <f t="shared" si="27"/>
        <v>0.00134472</v>
      </c>
      <c r="AA18" s="30">
        <f t="shared" si="6"/>
        <v>1490549</v>
      </c>
      <c r="AB18" s="34">
        <f t="shared" si="28"/>
        <v>0.1702</v>
      </c>
      <c r="AC18" s="340">
        <f t="shared" si="29"/>
        <v>7269475</v>
      </c>
      <c r="AD18" s="34">
        <f t="shared" si="30"/>
        <v>0.8298</v>
      </c>
      <c r="AE18" s="645">
        <f>'Table 7 Local Revenue'!AL17</f>
        <v>2514714</v>
      </c>
      <c r="AF18" s="30">
        <f t="shared" si="31"/>
        <v>1024165</v>
      </c>
      <c r="AG18" s="37">
        <f t="shared" si="32"/>
        <v>0</v>
      </c>
      <c r="AH18" s="30">
        <f t="shared" si="7"/>
        <v>2890808</v>
      </c>
      <c r="AI18" s="35">
        <f t="shared" si="33"/>
        <v>1024165</v>
      </c>
      <c r="AJ18" s="340">
        <f t="shared" si="8"/>
        <v>725424</v>
      </c>
      <c r="AK18" s="34">
        <f t="shared" si="34"/>
        <v>0.7083</v>
      </c>
      <c r="AL18" s="30">
        <f t="shared" si="9"/>
        <v>1322156</v>
      </c>
      <c r="AM18" s="30">
        <f t="shared" si="35"/>
        <v>1749589</v>
      </c>
      <c r="AN18" s="30">
        <f t="shared" si="36"/>
        <v>7994899</v>
      </c>
      <c r="AO18" s="30">
        <f t="shared" si="10"/>
        <v>4419.51</v>
      </c>
      <c r="AP18" s="30">
        <f>'Table 4 Level 3'!Y16</f>
        <v>63315</v>
      </c>
      <c r="AQ18" s="30">
        <f t="shared" si="37"/>
        <v>35</v>
      </c>
      <c r="AR18" s="340">
        <f t="shared" si="38"/>
        <v>8058214</v>
      </c>
      <c r="AS18" s="37">
        <f>AR18-'Table 2 Distribution &amp; Adjusts'!L15</f>
        <v>294179</v>
      </c>
      <c r="AT18" s="340">
        <f t="shared" si="11"/>
        <v>4454.51</v>
      </c>
      <c r="AU18" s="29">
        <f t="shared" si="39"/>
        <v>9</v>
      </c>
      <c r="AV18" s="34">
        <f t="shared" si="12"/>
        <v>0.7622</v>
      </c>
      <c r="AW18" s="29">
        <f t="shared" si="40"/>
        <v>11</v>
      </c>
      <c r="AX18" s="30">
        <f t="shared" si="41"/>
        <v>2514714</v>
      </c>
      <c r="AY18" s="30">
        <f t="shared" si="13"/>
        <v>1390.11</v>
      </c>
      <c r="AZ18" s="29">
        <f t="shared" si="42"/>
        <v>54</v>
      </c>
      <c r="BA18" s="34">
        <f t="shared" si="43"/>
        <v>0.2378</v>
      </c>
      <c r="BB18" s="30">
        <f t="shared" si="14"/>
        <v>10572928</v>
      </c>
      <c r="BC18" s="30">
        <f t="shared" si="15"/>
        <v>5844.63</v>
      </c>
      <c r="BD18" s="29">
        <f t="shared" si="44"/>
        <v>41</v>
      </c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</row>
    <row r="19" spans="1:153" s="6" customFormat="1" ht="12.75">
      <c r="A19" s="418">
        <v>12</v>
      </c>
      <c r="B19" s="326" t="s">
        <v>13</v>
      </c>
      <c r="C19" s="29">
        <f>'Table 8 Membership'!U19</f>
        <v>1851</v>
      </c>
      <c r="D19" s="326">
        <v>726</v>
      </c>
      <c r="E19" s="313">
        <f t="shared" si="16"/>
        <v>402948</v>
      </c>
      <c r="F19" s="29">
        <f t="shared" si="0"/>
        <v>123</v>
      </c>
      <c r="G19" s="326">
        <f>'[3]Sheet1'!C14</f>
        <v>562</v>
      </c>
      <c r="H19" s="313">
        <f t="shared" si="17"/>
        <v>91728</v>
      </c>
      <c r="I19" s="29">
        <f t="shared" si="1"/>
        <v>28</v>
      </c>
      <c r="J19" s="326">
        <f>'[1]Sheet1'!C17</f>
        <v>310</v>
      </c>
      <c r="K19" s="313">
        <f t="shared" si="18"/>
        <v>1523340</v>
      </c>
      <c r="L19" s="29">
        <f t="shared" si="2"/>
        <v>465</v>
      </c>
      <c r="M19" s="326">
        <f>'[1]Sheet1'!D17</f>
        <v>95</v>
      </c>
      <c r="N19" s="30">
        <f t="shared" si="19"/>
        <v>186732</v>
      </c>
      <c r="O19" s="29">
        <f t="shared" si="3"/>
        <v>57</v>
      </c>
      <c r="P19" s="29">
        <f t="shared" si="4"/>
        <v>5649</v>
      </c>
      <c r="Q19" s="244">
        <f t="shared" si="5"/>
        <v>0.15064</v>
      </c>
      <c r="R19" s="30">
        <f t="shared" si="20"/>
        <v>914004</v>
      </c>
      <c r="S19" s="29">
        <f t="shared" si="21"/>
        <v>279</v>
      </c>
      <c r="T19" s="29">
        <f t="shared" si="22"/>
        <v>952</v>
      </c>
      <c r="U19" s="29">
        <f t="shared" si="23"/>
        <v>2803</v>
      </c>
      <c r="V19" s="30">
        <f t="shared" si="24"/>
        <v>3276</v>
      </c>
      <c r="W19" s="30">
        <f t="shared" si="25"/>
        <v>9182628</v>
      </c>
      <c r="X19" s="33">
        <f>'Table 6 Local Wealth Factor'!L19</f>
        <v>1.23827354</v>
      </c>
      <c r="Y19" s="33">
        <f t="shared" si="26"/>
        <v>0.00289948</v>
      </c>
      <c r="Z19" s="33">
        <f t="shared" si="27"/>
        <v>0.00359035</v>
      </c>
      <c r="AA19" s="30">
        <f t="shared" si="6"/>
        <v>3979708</v>
      </c>
      <c r="AB19" s="34">
        <f t="shared" si="28"/>
        <v>0.4334</v>
      </c>
      <c r="AC19" s="340">
        <f t="shared" si="29"/>
        <v>5202920</v>
      </c>
      <c r="AD19" s="34">
        <f t="shared" si="30"/>
        <v>0.5666</v>
      </c>
      <c r="AE19" s="645">
        <f>'Table 7 Local Revenue'!AL18</f>
        <v>8623334</v>
      </c>
      <c r="AF19" s="30">
        <f t="shared" si="31"/>
        <v>4643626</v>
      </c>
      <c r="AG19" s="37">
        <f t="shared" si="32"/>
        <v>0</v>
      </c>
      <c r="AH19" s="30">
        <f t="shared" si="7"/>
        <v>3030267</v>
      </c>
      <c r="AI19" s="35">
        <f t="shared" si="33"/>
        <v>3030267</v>
      </c>
      <c r="AJ19" s="340">
        <f t="shared" si="8"/>
        <v>778887</v>
      </c>
      <c r="AK19" s="34">
        <f t="shared" si="34"/>
        <v>0.257</v>
      </c>
      <c r="AL19" s="30">
        <f t="shared" si="9"/>
        <v>0</v>
      </c>
      <c r="AM19" s="30">
        <f t="shared" si="35"/>
        <v>3809154</v>
      </c>
      <c r="AN19" s="30">
        <f t="shared" si="36"/>
        <v>5981807</v>
      </c>
      <c r="AO19" s="30">
        <f t="shared" si="10"/>
        <v>3231.66</v>
      </c>
      <c r="AP19" s="30">
        <f>'Table 4 Level 3'!Y17</f>
        <v>389196</v>
      </c>
      <c r="AQ19" s="30">
        <f t="shared" si="37"/>
        <v>210.26</v>
      </c>
      <c r="AR19" s="340">
        <f t="shared" si="38"/>
        <v>6371003</v>
      </c>
      <c r="AS19" s="37">
        <f>AR19-'Table 2 Distribution &amp; Adjusts'!L16</f>
        <v>82002</v>
      </c>
      <c r="AT19" s="340">
        <f t="shared" si="11"/>
        <v>3441.92</v>
      </c>
      <c r="AU19" s="29">
        <f t="shared" si="39"/>
        <v>50</v>
      </c>
      <c r="AV19" s="34">
        <f t="shared" si="12"/>
        <v>0.4761</v>
      </c>
      <c r="AW19" s="29">
        <f t="shared" si="40"/>
        <v>55</v>
      </c>
      <c r="AX19" s="30">
        <f t="shared" si="41"/>
        <v>7009975</v>
      </c>
      <c r="AY19" s="30">
        <f t="shared" si="13"/>
        <v>3787.13</v>
      </c>
      <c r="AZ19" s="29">
        <f t="shared" si="42"/>
        <v>6</v>
      </c>
      <c r="BA19" s="34">
        <f t="shared" si="43"/>
        <v>0.5239</v>
      </c>
      <c r="BB19" s="30">
        <f t="shared" si="14"/>
        <v>13380978</v>
      </c>
      <c r="BC19" s="30">
        <f t="shared" si="15"/>
        <v>7229.05</v>
      </c>
      <c r="BD19" s="29">
        <f t="shared" si="44"/>
        <v>4</v>
      </c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</row>
    <row r="20" spans="1:153" s="6" customFormat="1" ht="12.75">
      <c r="A20" s="418">
        <v>13</v>
      </c>
      <c r="B20" s="326" t="s">
        <v>14</v>
      </c>
      <c r="C20" s="29">
        <f>'Table 8 Membership'!U20</f>
        <v>1778</v>
      </c>
      <c r="D20" s="326">
        <v>1124</v>
      </c>
      <c r="E20" s="313">
        <f t="shared" si="16"/>
        <v>625716</v>
      </c>
      <c r="F20" s="29">
        <f t="shared" si="0"/>
        <v>191</v>
      </c>
      <c r="G20" s="326">
        <f>'[3]Sheet1'!C15</f>
        <v>571</v>
      </c>
      <c r="H20" s="313">
        <f t="shared" si="17"/>
        <v>95004</v>
      </c>
      <c r="I20" s="29">
        <f t="shared" si="1"/>
        <v>29</v>
      </c>
      <c r="J20" s="326">
        <f>'[1]Sheet1'!C18</f>
        <v>199</v>
      </c>
      <c r="K20" s="313">
        <f t="shared" si="18"/>
        <v>979524</v>
      </c>
      <c r="L20" s="29">
        <f t="shared" si="2"/>
        <v>299</v>
      </c>
      <c r="M20" s="326">
        <f>'[1]Sheet1'!D18</f>
        <v>43</v>
      </c>
      <c r="N20" s="30">
        <f t="shared" si="19"/>
        <v>85176</v>
      </c>
      <c r="O20" s="29">
        <f t="shared" si="3"/>
        <v>26</v>
      </c>
      <c r="P20" s="29">
        <f t="shared" si="4"/>
        <v>5722</v>
      </c>
      <c r="Q20" s="244">
        <f t="shared" si="5"/>
        <v>0.15259</v>
      </c>
      <c r="R20" s="30">
        <f t="shared" si="20"/>
        <v>887796</v>
      </c>
      <c r="S20" s="29">
        <f t="shared" si="21"/>
        <v>271</v>
      </c>
      <c r="T20" s="29">
        <f t="shared" si="22"/>
        <v>816</v>
      </c>
      <c r="U20" s="29">
        <f t="shared" si="23"/>
        <v>2594</v>
      </c>
      <c r="V20" s="30">
        <f t="shared" si="24"/>
        <v>3276</v>
      </c>
      <c r="W20" s="30">
        <f t="shared" si="25"/>
        <v>8497944</v>
      </c>
      <c r="X20" s="33">
        <f>'Table 6 Local Wealth Factor'!L20</f>
        <v>0.49826675</v>
      </c>
      <c r="Y20" s="33">
        <f t="shared" si="26"/>
        <v>0.00268329</v>
      </c>
      <c r="Z20" s="33">
        <f t="shared" si="27"/>
        <v>0.00133699</v>
      </c>
      <c r="AA20" s="30">
        <f t="shared" si="6"/>
        <v>1481981</v>
      </c>
      <c r="AB20" s="34">
        <f t="shared" si="28"/>
        <v>0.1744</v>
      </c>
      <c r="AC20" s="340">
        <f t="shared" si="29"/>
        <v>7015963</v>
      </c>
      <c r="AD20" s="34">
        <f t="shared" si="30"/>
        <v>0.8256</v>
      </c>
      <c r="AE20" s="645">
        <f>'Table 7 Local Revenue'!AL19</f>
        <v>2586492.5</v>
      </c>
      <c r="AF20" s="30">
        <f t="shared" si="31"/>
        <v>1104511.5</v>
      </c>
      <c r="AG20" s="37">
        <f t="shared" si="32"/>
        <v>0</v>
      </c>
      <c r="AH20" s="30">
        <f t="shared" si="7"/>
        <v>2804322</v>
      </c>
      <c r="AI20" s="35">
        <f t="shared" si="33"/>
        <v>1104511.5</v>
      </c>
      <c r="AJ20" s="340">
        <f t="shared" si="8"/>
        <v>774307</v>
      </c>
      <c r="AK20" s="34">
        <f t="shared" si="34"/>
        <v>0.701</v>
      </c>
      <c r="AL20" s="30">
        <f t="shared" si="9"/>
        <v>1191635</v>
      </c>
      <c r="AM20" s="30">
        <f t="shared" si="35"/>
        <v>1878818.5</v>
      </c>
      <c r="AN20" s="30">
        <f t="shared" si="36"/>
        <v>7790270</v>
      </c>
      <c r="AO20" s="30">
        <f t="shared" si="10"/>
        <v>4381.48</v>
      </c>
      <c r="AP20" s="30">
        <f>'Table 4 Level 3'!Y18</f>
        <v>128016</v>
      </c>
      <c r="AQ20" s="30">
        <f t="shared" si="37"/>
        <v>72</v>
      </c>
      <c r="AR20" s="340">
        <f t="shared" si="38"/>
        <v>7918286</v>
      </c>
      <c r="AS20" s="37">
        <f>AR20-'Table 2 Distribution &amp; Adjusts'!L17</f>
        <v>81644</v>
      </c>
      <c r="AT20" s="340">
        <f t="shared" si="11"/>
        <v>4453.48</v>
      </c>
      <c r="AU20" s="29">
        <f t="shared" si="39"/>
        <v>10</v>
      </c>
      <c r="AV20" s="34">
        <f t="shared" si="12"/>
        <v>0.7538</v>
      </c>
      <c r="AW20" s="29">
        <f t="shared" si="40"/>
        <v>13</v>
      </c>
      <c r="AX20" s="30">
        <f t="shared" si="41"/>
        <v>2586492.5</v>
      </c>
      <c r="AY20" s="30">
        <f t="shared" si="13"/>
        <v>1454.72</v>
      </c>
      <c r="AZ20" s="29">
        <f t="shared" si="42"/>
        <v>52</v>
      </c>
      <c r="BA20" s="34">
        <f t="shared" si="43"/>
        <v>0.2462</v>
      </c>
      <c r="BB20" s="30">
        <f t="shared" si="14"/>
        <v>10504778.5</v>
      </c>
      <c r="BC20" s="30">
        <f t="shared" si="15"/>
        <v>5908.2</v>
      </c>
      <c r="BD20" s="29">
        <f t="shared" si="44"/>
        <v>37</v>
      </c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</row>
    <row r="21" spans="1:153" s="6" customFormat="1" ht="12.75">
      <c r="A21" s="418">
        <v>14</v>
      </c>
      <c r="B21" s="326" t="s">
        <v>15</v>
      </c>
      <c r="C21" s="29">
        <f>'Table 8 Membership'!U21</f>
        <v>2694</v>
      </c>
      <c r="D21" s="326">
        <v>1902</v>
      </c>
      <c r="E21" s="313">
        <f t="shared" si="16"/>
        <v>1058148</v>
      </c>
      <c r="F21" s="29">
        <f t="shared" si="0"/>
        <v>323</v>
      </c>
      <c r="G21" s="326">
        <f>'[3]Sheet1'!C16</f>
        <v>740</v>
      </c>
      <c r="H21" s="313">
        <f t="shared" si="17"/>
        <v>121212</v>
      </c>
      <c r="I21" s="29">
        <f t="shared" si="1"/>
        <v>37</v>
      </c>
      <c r="J21" s="326">
        <f>'[1]Sheet1'!C19</f>
        <v>474</v>
      </c>
      <c r="K21" s="313">
        <f t="shared" si="18"/>
        <v>2329236</v>
      </c>
      <c r="L21" s="29">
        <f t="shared" si="2"/>
        <v>711</v>
      </c>
      <c r="M21" s="326">
        <f>'[1]Sheet1'!D19</f>
        <v>156</v>
      </c>
      <c r="N21" s="30">
        <f t="shared" si="19"/>
        <v>307944</v>
      </c>
      <c r="O21" s="29">
        <f t="shared" si="3"/>
        <v>94</v>
      </c>
      <c r="P21" s="29">
        <f t="shared" si="4"/>
        <v>4806</v>
      </c>
      <c r="Q21" s="244">
        <f t="shared" si="5"/>
        <v>0.12816</v>
      </c>
      <c r="R21" s="30">
        <f t="shared" si="20"/>
        <v>1130220</v>
      </c>
      <c r="S21" s="29">
        <f t="shared" si="21"/>
        <v>345</v>
      </c>
      <c r="T21" s="29">
        <f t="shared" si="22"/>
        <v>1510</v>
      </c>
      <c r="U21" s="29">
        <f t="shared" si="23"/>
        <v>4204</v>
      </c>
      <c r="V21" s="30">
        <f t="shared" si="24"/>
        <v>3276</v>
      </c>
      <c r="W21" s="30">
        <f t="shared" si="25"/>
        <v>13772304</v>
      </c>
      <c r="X21" s="33">
        <f>'Table 6 Local Wealth Factor'!L21</f>
        <v>0.63196902</v>
      </c>
      <c r="Y21" s="33">
        <f t="shared" si="26"/>
        <v>0.00434871</v>
      </c>
      <c r="Z21" s="33">
        <f t="shared" si="27"/>
        <v>0.00274825</v>
      </c>
      <c r="AA21" s="30">
        <f t="shared" si="6"/>
        <v>3046286</v>
      </c>
      <c r="AB21" s="34">
        <f t="shared" si="28"/>
        <v>0.2212</v>
      </c>
      <c r="AC21" s="340">
        <f t="shared" si="29"/>
        <v>10726018</v>
      </c>
      <c r="AD21" s="34">
        <f t="shared" si="30"/>
        <v>0.7788</v>
      </c>
      <c r="AE21" s="645">
        <f>'Table 7 Local Revenue'!AL20</f>
        <v>5043058.5</v>
      </c>
      <c r="AF21" s="30">
        <f t="shared" si="31"/>
        <v>1996772.5</v>
      </c>
      <c r="AG21" s="37">
        <f t="shared" si="32"/>
        <v>0</v>
      </c>
      <c r="AH21" s="30">
        <f t="shared" si="7"/>
        <v>4544860</v>
      </c>
      <c r="AI21" s="35">
        <f t="shared" si="33"/>
        <v>1996772.5</v>
      </c>
      <c r="AJ21" s="340">
        <f t="shared" si="8"/>
        <v>1239633</v>
      </c>
      <c r="AK21" s="34">
        <f t="shared" si="34"/>
        <v>0.6208</v>
      </c>
      <c r="AL21" s="30">
        <f t="shared" si="9"/>
        <v>1581901</v>
      </c>
      <c r="AM21" s="30">
        <f t="shared" si="35"/>
        <v>3236405.5</v>
      </c>
      <c r="AN21" s="30">
        <f t="shared" si="36"/>
        <v>11965651</v>
      </c>
      <c r="AO21" s="30">
        <f t="shared" si="10"/>
        <v>4441.59</v>
      </c>
      <c r="AP21" s="30">
        <f>'Table 4 Level 3'!Y19</f>
        <v>301728</v>
      </c>
      <c r="AQ21" s="30">
        <f t="shared" si="37"/>
        <v>112</v>
      </c>
      <c r="AR21" s="340">
        <f t="shared" si="38"/>
        <v>12267379</v>
      </c>
      <c r="AS21" s="37">
        <f>AR21-'Table 2 Distribution &amp; Adjusts'!L18</f>
        <v>923162</v>
      </c>
      <c r="AT21" s="340">
        <f t="shared" si="11"/>
        <v>4553.59</v>
      </c>
      <c r="AU21" s="29">
        <f t="shared" si="39"/>
        <v>5</v>
      </c>
      <c r="AV21" s="34">
        <f t="shared" si="12"/>
        <v>0.7087</v>
      </c>
      <c r="AW21" s="29">
        <f t="shared" si="40"/>
        <v>24</v>
      </c>
      <c r="AX21" s="30">
        <f t="shared" si="41"/>
        <v>5043058.5</v>
      </c>
      <c r="AY21" s="30">
        <f t="shared" si="13"/>
        <v>1871.96</v>
      </c>
      <c r="AZ21" s="29">
        <f t="shared" si="42"/>
        <v>38</v>
      </c>
      <c r="BA21" s="34">
        <f t="shared" si="43"/>
        <v>0.2913</v>
      </c>
      <c r="BB21" s="30">
        <f t="shared" si="14"/>
        <v>17310437.5</v>
      </c>
      <c r="BC21" s="30">
        <f t="shared" si="15"/>
        <v>6425.55</v>
      </c>
      <c r="BD21" s="29">
        <f t="shared" si="44"/>
        <v>20</v>
      </c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</row>
    <row r="22" spans="1:153" s="49" customFormat="1" ht="12.75">
      <c r="A22" s="419">
        <v>15</v>
      </c>
      <c r="B22" s="329" t="s">
        <v>16</v>
      </c>
      <c r="C22" s="43">
        <f>'Table 8 Membership'!U22</f>
        <v>3726</v>
      </c>
      <c r="D22" s="326">
        <v>2738</v>
      </c>
      <c r="E22" s="313">
        <f t="shared" si="16"/>
        <v>1523340</v>
      </c>
      <c r="F22" s="43">
        <f t="shared" si="0"/>
        <v>465</v>
      </c>
      <c r="G22" s="326">
        <f>'[3]Sheet1'!C17</f>
        <v>1200</v>
      </c>
      <c r="H22" s="313">
        <f t="shared" si="17"/>
        <v>196560</v>
      </c>
      <c r="I22" s="43">
        <f t="shared" si="1"/>
        <v>60</v>
      </c>
      <c r="J22" s="326">
        <f>'[1]Sheet1'!C20</f>
        <v>429</v>
      </c>
      <c r="K22" s="313">
        <f t="shared" si="18"/>
        <v>2109744</v>
      </c>
      <c r="L22" s="43">
        <f t="shared" si="2"/>
        <v>644</v>
      </c>
      <c r="M22" s="326">
        <f>'[1]Sheet1'!D20</f>
        <v>33</v>
      </c>
      <c r="N22" s="30">
        <f t="shared" si="19"/>
        <v>65520</v>
      </c>
      <c r="O22" s="43">
        <f t="shared" si="3"/>
        <v>20</v>
      </c>
      <c r="P22" s="43">
        <f t="shared" si="4"/>
        <v>3774</v>
      </c>
      <c r="Q22" s="245">
        <f t="shared" si="5"/>
        <v>0.10064</v>
      </c>
      <c r="R22" s="44">
        <f t="shared" si="20"/>
        <v>1228500</v>
      </c>
      <c r="S22" s="43">
        <f t="shared" si="21"/>
        <v>375</v>
      </c>
      <c r="T22" s="43">
        <f t="shared" si="22"/>
        <v>1564</v>
      </c>
      <c r="U22" s="29">
        <f t="shared" si="23"/>
        <v>5290</v>
      </c>
      <c r="V22" s="44">
        <f t="shared" si="24"/>
        <v>3276</v>
      </c>
      <c r="W22" s="44">
        <f t="shared" si="25"/>
        <v>17330040</v>
      </c>
      <c r="X22" s="46">
        <f>'Table 6 Local Wealth Factor'!L22</f>
        <v>0.69651086</v>
      </c>
      <c r="Y22" s="46">
        <f t="shared" si="26"/>
        <v>0.00547209</v>
      </c>
      <c r="Z22" s="46">
        <f t="shared" si="27"/>
        <v>0.00381137</v>
      </c>
      <c r="AA22" s="44">
        <f t="shared" si="6"/>
        <v>4224697</v>
      </c>
      <c r="AB22" s="47">
        <f t="shared" si="28"/>
        <v>0.2438</v>
      </c>
      <c r="AC22" s="341">
        <f t="shared" si="29"/>
        <v>13105343</v>
      </c>
      <c r="AD22" s="47">
        <f t="shared" si="30"/>
        <v>0.7562</v>
      </c>
      <c r="AE22" s="646">
        <f>'Table 7 Local Revenue'!AL21</f>
        <v>7225562</v>
      </c>
      <c r="AF22" s="44">
        <f t="shared" si="31"/>
        <v>3000865</v>
      </c>
      <c r="AG22" s="55">
        <f t="shared" si="32"/>
        <v>0</v>
      </c>
      <c r="AH22" s="44">
        <f t="shared" si="7"/>
        <v>5718913</v>
      </c>
      <c r="AI22" s="48">
        <f t="shared" si="33"/>
        <v>3000865</v>
      </c>
      <c r="AJ22" s="341">
        <f t="shared" si="8"/>
        <v>1746784</v>
      </c>
      <c r="AK22" s="47">
        <f t="shared" si="34"/>
        <v>0.5821</v>
      </c>
      <c r="AL22" s="44">
        <f t="shared" si="9"/>
        <v>1582158</v>
      </c>
      <c r="AM22" s="44">
        <f t="shared" si="35"/>
        <v>4747649</v>
      </c>
      <c r="AN22" s="44">
        <f t="shared" si="36"/>
        <v>14852127</v>
      </c>
      <c r="AO22" s="44">
        <f t="shared" si="10"/>
        <v>3986.08</v>
      </c>
      <c r="AP22" s="44">
        <f>'Table 4 Level 3'!Y20</f>
        <v>272439</v>
      </c>
      <c r="AQ22" s="44">
        <f t="shared" si="37"/>
        <v>73.12</v>
      </c>
      <c r="AR22" s="341">
        <f t="shared" si="38"/>
        <v>15124566</v>
      </c>
      <c r="AS22" s="55">
        <f>AR22-'Table 2 Distribution &amp; Adjusts'!L19</f>
        <v>1100888</v>
      </c>
      <c r="AT22" s="341">
        <f t="shared" si="11"/>
        <v>4059.2</v>
      </c>
      <c r="AU22" s="43">
        <f t="shared" si="39"/>
        <v>24</v>
      </c>
      <c r="AV22" s="47">
        <f t="shared" si="12"/>
        <v>0.6767</v>
      </c>
      <c r="AW22" s="43">
        <f t="shared" si="40"/>
        <v>30</v>
      </c>
      <c r="AX22" s="44">
        <f t="shared" si="41"/>
        <v>7225562</v>
      </c>
      <c r="AY22" s="44">
        <f t="shared" si="13"/>
        <v>1939.23</v>
      </c>
      <c r="AZ22" s="43">
        <f t="shared" si="42"/>
        <v>36</v>
      </c>
      <c r="BA22" s="47">
        <f t="shared" si="43"/>
        <v>0.3233</v>
      </c>
      <c r="BB22" s="44">
        <f t="shared" si="14"/>
        <v>22350128</v>
      </c>
      <c r="BC22" s="44">
        <f t="shared" si="15"/>
        <v>5998.42</v>
      </c>
      <c r="BD22" s="43">
        <f t="shared" si="44"/>
        <v>34</v>
      </c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</row>
    <row r="23" spans="1:153" s="6" customFormat="1" ht="12.75">
      <c r="A23" s="418">
        <v>16</v>
      </c>
      <c r="B23" s="326" t="s">
        <v>17</v>
      </c>
      <c r="C23" s="29">
        <f>'Table 8 Membership'!U23</f>
        <v>4840</v>
      </c>
      <c r="D23" s="326">
        <v>3157</v>
      </c>
      <c r="E23" s="313">
        <f t="shared" si="16"/>
        <v>1759212</v>
      </c>
      <c r="F23" s="29">
        <f t="shared" si="0"/>
        <v>537</v>
      </c>
      <c r="G23" s="326">
        <f>'[3]Sheet1'!C18</f>
        <v>1957</v>
      </c>
      <c r="H23" s="313">
        <f t="shared" si="17"/>
        <v>321048</v>
      </c>
      <c r="I23" s="29">
        <f t="shared" si="1"/>
        <v>98</v>
      </c>
      <c r="J23" s="326">
        <f>'[1]Sheet1'!C21</f>
        <v>761</v>
      </c>
      <c r="K23" s="313">
        <f t="shared" si="18"/>
        <v>3741192</v>
      </c>
      <c r="L23" s="29">
        <f t="shared" si="2"/>
        <v>1142</v>
      </c>
      <c r="M23" s="326">
        <f>'[1]Sheet1'!D21</f>
        <v>73</v>
      </c>
      <c r="N23" s="30">
        <f t="shared" si="19"/>
        <v>144144</v>
      </c>
      <c r="O23" s="29">
        <f t="shared" si="3"/>
        <v>44</v>
      </c>
      <c r="P23" s="29">
        <f t="shared" si="4"/>
        <v>2660</v>
      </c>
      <c r="Q23" s="244">
        <f t="shared" si="5"/>
        <v>0.07093</v>
      </c>
      <c r="R23" s="30">
        <f t="shared" si="20"/>
        <v>1123668</v>
      </c>
      <c r="S23" s="29">
        <f t="shared" si="21"/>
        <v>343</v>
      </c>
      <c r="T23" s="29">
        <f t="shared" si="22"/>
        <v>2164</v>
      </c>
      <c r="U23" s="104">
        <f t="shared" si="23"/>
        <v>7004</v>
      </c>
      <c r="V23" s="30">
        <f t="shared" si="24"/>
        <v>3276</v>
      </c>
      <c r="W23" s="30">
        <f t="shared" si="25"/>
        <v>22945104</v>
      </c>
      <c r="X23" s="33">
        <f>'Table 6 Local Wealth Factor'!L23</f>
        <v>0.87812191</v>
      </c>
      <c r="Y23" s="33">
        <f t="shared" si="26"/>
        <v>0.00724509</v>
      </c>
      <c r="Z23" s="33">
        <f t="shared" si="27"/>
        <v>0.00636207</v>
      </c>
      <c r="AA23" s="30">
        <f t="shared" si="6"/>
        <v>7052009</v>
      </c>
      <c r="AB23" s="34">
        <f t="shared" si="28"/>
        <v>0.3073</v>
      </c>
      <c r="AC23" s="340">
        <f t="shared" si="29"/>
        <v>15893095</v>
      </c>
      <c r="AD23" s="34">
        <f t="shared" si="30"/>
        <v>0.6927</v>
      </c>
      <c r="AE23" s="645">
        <f>'Table 7 Local Revenue'!AL22</f>
        <v>16323240.5</v>
      </c>
      <c r="AF23" s="30">
        <f t="shared" si="31"/>
        <v>9271231.5</v>
      </c>
      <c r="AG23" s="37">
        <f t="shared" si="32"/>
        <v>0</v>
      </c>
      <c r="AH23" s="30">
        <f t="shared" si="7"/>
        <v>7571884</v>
      </c>
      <c r="AI23" s="35">
        <f t="shared" si="33"/>
        <v>7571884</v>
      </c>
      <c r="AJ23" s="340">
        <f t="shared" si="8"/>
        <v>3582462</v>
      </c>
      <c r="AK23" s="34">
        <f t="shared" si="34"/>
        <v>0.4731</v>
      </c>
      <c r="AL23" s="30">
        <f t="shared" si="9"/>
        <v>0</v>
      </c>
      <c r="AM23" s="30">
        <f t="shared" si="35"/>
        <v>11154346</v>
      </c>
      <c r="AN23" s="30">
        <f t="shared" si="36"/>
        <v>19475557</v>
      </c>
      <c r="AO23" s="30">
        <f t="shared" si="10"/>
        <v>4023.88</v>
      </c>
      <c r="AP23" s="30">
        <f>'Table 4 Level 3'!Y21</f>
        <v>45153</v>
      </c>
      <c r="AQ23" s="30">
        <f t="shared" si="37"/>
        <v>9.33</v>
      </c>
      <c r="AR23" s="340">
        <f t="shared" si="38"/>
        <v>19520710</v>
      </c>
      <c r="AS23" s="37">
        <f>AR23-'Table 2 Distribution &amp; Adjusts'!L20</f>
        <v>1282179</v>
      </c>
      <c r="AT23" s="340">
        <f t="shared" si="11"/>
        <v>4033.2</v>
      </c>
      <c r="AU23" s="29">
        <f t="shared" si="39"/>
        <v>26</v>
      </c>
      <c r="AV23" s="34">
        <f t="shared" si="12"/>
        <v>0.5717</v>
      </c>
      <c r="AW23" s="29">
        <f t="shared" si="40"/>
        <v>46</v>
      </c>
      <c r="AX23" s="30">
        <f t="shared" si="41"/>
        <v>14623893</v>
      </c>
      <c r="AY23" s="30">
        <f t="shared" si="13"/>
        <v>3021.47</v>
      </c>
      <c r="AZ23" s="29">
        <f t="shared" si="42"/>
        <v>16</v>
      </c>
      <c r="BA23" s="34">
        <f t="shared" si="43"/>
        <v>0.4283</v>
      </c>
      <c r="BB23" s="30">
        <f t="shared" si="14"/>
        <v>34144603</v>
      </c>
      <c r="BC23" s="30">
        <f t="shared" si="15"/>
        <v>7054.67</v>
      </c>
      <c r="BD23" s="29">
        <f t="shared" si="44"/>
        <v>7</v>
      </c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</row>
    <row r="24" spans="1:153" s="6" customFormat="1" ht="12.75">
      <c r="A24" s="418">
        <v>17</v>
      </c>
      <c r="B24" s="326" t="s">
        <v>18</v>
      </c>
      <c r="C24" s="29">
        <f>'Table 8 Membership'!U24</f>
        <v>50803</v>
      </c>
      <c r="D24" s="326">
        <v>34321</v>
      </c>
      <c r="E24" s="313">
        <f t="shared" si="16"/>
        <v>19115460</v>
      </c>
      <c r="F24" s="29">
        <f t="shared" si="0"/>
        <v>5835</v>
      </c>
      <c r="G24" s="326">
        <f>'[3]Sheet1'!C19</f>
        <v>10988</v>
      </c>
      <c r="H24" s="313">
        <f t="shared" si="17"/>
        <v>1798524</v>
      </c>
      <c r="I24" s="29">
        <f t="shared" si="1"/>
        <v>549</v>
      </c>
      <c r="J24" s="326">
        <f>'[1]Sheet1'!C22</f>
        <v>5234</v>
      </c>
      <c r="K24" s="313">
        <f t="shared" si="18"/>
        <v>25719876</v>
      </c>
      <c r="L24" s="29">
        <f t="shared" si="2"/>
        <v>7851</v>
      </c>
      <c r="M24" s="326">
        <f>'[1]Sheet1'!D22</f>
        <v>1237</v>
      </c>
      <c r="N24" s="30">
        <f t="shared" si="19"/>
        <v>2430792</v>
      </c>
      <c r="O24" s="29">
        <f t="shared" si="3"/>
        <v>742</v>
      </c>
      <c r="P24" s="29">
        <f t="shared" si="4"/>
        <v>0</v>
      </c>
      <c r="Q24" s="244">
        <f t="shared" si="5"/>
        <v>0</v>
      </c>
      <c r="R24" s="30">
        <f t="shared" si="20"/>
        <v>0</v>
      </c>
      <c r="S24" s="29">
        <f t="shared" si="21"/>
        <v>0</v>
      </c>
      <c r="T24" s="29">
        <f t="shared" si="22"/>
        <v>14977</v>
      </c>
      <c r="U24" s="29">
        <f t="shared" si="23"/>
        <v>65780</v>
      </c>
      <c r="V24" s="30">
        <f t="shared" si="24"/>
        <v>3276</v>
      </c>
      <c r="W24" s="30">
        <f t="shared" si="25"/>
        <v>215495280</v>
      </c>
      <c r="X24" s="33">
        <f>'Table 6 Local Wealth Factor'!L24</f>
        <v>1.54564064</v>
      </c>
      <c r="Y24" s="33">
        <f t="shared" si="26"/>
        <v>0.06804424</v>
      </c>
      <c r="Z24" s="33">
        <f t="shared" si="27"/>
        <v>0.10517194</v>
      </c>
      <c r="AA24" s="30">
        <f t="shared" si="6"/>
        <v>116577389</v>
      </c>
      <c r="AB24" s="34">
        <f t="shared" si="28"/>
        <v>0.541</v>
      </c>
      <c r="AC24" s="340">
        <f t="shared" si="29"/>
        <v>98917891</v>
      </c>
      <c r="AD24" s="34">
        <f t="shared" si="30"/>
        <v>0.459</v>
      </c>
      <c r="AE24" s="645">
        <f>'Table 7 Local Revenue'!AL23</f>
        <v>209136067.5</v>
      </c>
      <c r="AF24" s="30">
        <f t="shared" si="31"/>
        <v>92558678.5</v>
      </c>
      <c r="AG24" s="37">
        <f t="shared" si="32"/>
        <v>0</v>
      </c>
      <c r="AH24" s="30">
        <f t="shared" si="7"/>
        <v>71113442</v>
      </c>
      <c r="AI24" s="35">
        <f t="shared" si="33"/>
        <v>71113442</v>
      </c>
      <c r="AJ24" s="340">
        <f t="shared" si="8"/>
        <v>5163946</v>
      </c>
      <c r="AK24" s="34">
        <f t="shared" si="34"/>
        <v>0.0726</v>
      </c>
      <c r="AL24" s="30">
        <f t="shared" si="9"/>
        <v>0</v>
      </c>
      <c r="AM24" s="30">
        <f t="shared" si="35"/>
        <v>76277388</v>
      </c>
      <c r="AN24" s="30">
        <f t="shared" si="36"/>
        <v>104081837</v>
      </c>
      <c r="AO24" s="30">
        <f t="shared" si="10"/>
        <v>2048.73</v>
      </c>
      <c r="AP24" s="30">
        <f>'Table 4 Level 3'!Y22</f>
        <v>37308205</v>
      </c>
      <c r="AQ24" s="30">
        <f t="shared" si="37"/>
        <v>734.37</v>
      </c>
      <c r="AR24" s="340">
        <f t="shared" si="38"/>
        <v>141390042</v>
      </c>
      <c r="AS24" s="37">
        <f>AR24-'Table 2 Distribution &amp; Adjusts'!L21</f>
        <v>759513</v>
      </c>
      <c r="AT24" s="340">
        <f t="shared" si="11"/>
        <v>2783.1</v>
      </c>
      <c r="AU24" s="29">
        <f t="shared" si="39"/>
        <v>58</v>
      </c>
      <c r="AV24" s="34">
        <f t="shared" si="12"/>
        <v>0.4297</v>
      </c>
      <c r="AW24" s="29">
        <f t="shared" si="40"/>
        <v>62</v>
      </c>
      <c r="AX24" s="30">
        <f t="shared" si="41"/>
        <v>187690831</v>
      </c>
      <c r="AY24" s="30">
        <f t="shared" si="13"/>
        <v>3694.48</v>
      </c>
      <c r="AZ24" s="29">
        <f t="shared" si="42"/>
        <v>7</v>
      </c>
      <c r="BA24" s="34">
        <f t="shared" si="43"/>
        <v>0.5703</v>
      </c>
      <c r="BB24" s="30">
        <f t="shared" si="14"/>
        <v>329080873</v>
      </c>
      <c r="BC24" s="30">
        <f t="shared" si="15"/>
        <v>6477.59</v>
      </c>
      <c r="BD24" s="29">
        <f t="shared" si="44"/>
        <v>16</v>
      </c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</row>
    <row r="25" spans="1:153" s="6" customFormat="1" ht="12.75">
      <c r="A25" s="418">
        <v>18</v>
      </c>
      <c r="B25" s="326" t="s">
        <v>19</v>
      </c>
      <c r="C25" s="29">
        <f>'Table 8 Membership'!U25</f>
        <v>1709</v>
      </c>
      <c r="D25" s="326">
        <v>1528</v>
      </c>
      <c r="E25" s="313">
        <f t="shared" si="16"/>
        <v>851760</v>
      </c>
      <c r="F25" s="29">
        <f t="shared" si="0"/>
        <v>260</v>
      </c>
      <c r="G25" s="326">
        <f>'[3]Sheet1'!C20</f>
        <v>356</v>
      </c>
      <c r="H25" s="313">
        <f t="shared" si="17"/>
        <v>58968</v>
      </c>
      <c r="I25" s="29">
        <f t="shared" si="1"/>
        <v>18</v>
      </c>
      <c r="J25" s="326">
        <f>'[1]Sheet1'!C23</f>
        <v>236</v>
      </c>
      <c r="K25" s="313">
        <f t="shared" si="18"/>
        <v>1159704</v>
      </c>
      <c r="L25" s="29">
        <f t="shared" si="2"/>
        <v>354</v>
      </c>
      <c r="M25" s="326">
        <f>'[1]Sheet1'!D23</f>
        <v>1</v>
      </c>
      <c r="N25" s="30">
        <f t="shared" si="19"/>
        <v>3276</v>
      </c>
      <c r="O25" s="29">
        <f t="shared" si="3"/>
        <v>1</v>
      </c>
      <c r="P25" s="29">
        <f t="shared" si="4"/>
        <v>5791</v>
      </c>
      <c r="Q25" s="244">
        <f t="shared" si="5"/>
        <v>0.15443</v>
      </c>
      <c r="R25" s="30">
        <f t="shared" si="20"/>
        <v>864864</v>
      </c>
      <c r="S25" s="29">
        <f t="shared" si="21"/>
        <v>264</v>
      </c>
      <c r="T25" s="29">
        <f t="shared" si="22"/>
        <v>897</v>
      </c>
      <c r="U25" s="29">
        <f t="shared" si="23"/>
        <v>2606</v>
      </c>
      <c r="V25" s="30">
        <f t="shared" si="24"/>
        <v>3276</v>
      </c>
      <c r="W25" s="30">
        <f t="shared" si="25"/>
        <v>8537256</v>
      </c>
      <c r="X25" s="33">
        <f>'Table 6 Local Wealth Factor'!L25</f>
        <v>0.43424436</v>
      </c>
      <c r="Y25" s="33">
        <f t="shared" si="26"/>
        <v>0.0026957</v>
      </c>
      <c r="Z25" s="33">
        <f t="shared" si="27"/>
        <v>0.00117059</v>
      </c>
      <c r="AA25" s="30">
        <f t="shared" si="6"/>
        <v>1297535</v>
      </c>
      <c r="AB25" s="34">
        <f t="shared" si="28"/>
        <v>0.152</v>
      </c>
      <c r="AC25" s="340">
        <f t="shared" si="29"/>
        <v>7239721</v>
      </c>
      <c r="AD25" s="34">
        <f t="shared" si="30"/>
        <v>0.848</v>
      </c>
      <c r="AE25" s="645">
        <f>'Table 7 Local Revenue'!AL24</f>
        <v>1971977</v>
      </c>
      <c r="AF25" s="30">
        <f t="shared" si="31"/>
        <v>674442</v>
      </c>
      <c r="AG25" s="37">
        <f t="shared" si="32"/>
        <v>0</v>
      </c>
      <c r="AH25" s="30">
        <f t="shared" si="7"/>
        <v>2817294</v>
      </c>
      <c r="AI25" s="35">
        <f t="shared" si="33"/>
        <v>674442</v>
      </c>
      <c r="AJ25" s="340">
        <f t="shared" si="8"/>
        <v>498718</v>
      </c>
      <c r="AK25" s="34">
        <f t="shared" si="34"/>
        <v>0.7395</v>
      </c>
      <c r="AL25" s="30">
        <f t="shared" si="9"/>
        <v>1584540</v>
      </c>
      <c r="AM25" s="30">
        <f t="shared" si="35"/>
        <v>1173160</v>
      </c>
      <c r="AN25" s="30">
        <f t="shared" si="36"/>
        <v>7738439</v>
      </c>
      <c r="AO25" s="30">
        <f t="shared" si="10"/>
        <v>4528.05</v>
      </c>
      <c r="AP25" s="30">
        <f>'Table 4 Level 3'!Y23</f>
        <v>133302</v>
      </c>
      <c r="AQ25" s="30">
        <f t="shared" si="37"/>
        <v>78</v>
      </c>
      <c r="AR25" s="340">
        <f t="shared" si="38"/>
        <v>7871741</v>
      </c>
      <c r="AS25" s="37">
        <f>AR25-'Table 2 Distribution &amp; Adjusts'!L22</f>
        <v>259893</v>
      </c>
      <c r="AT25" s="340">
        <f t="shared" si="11"/>
        <v>4606.05</v>
      </c>
      <c r="AU25" s="29">
        <f t="shared" si="39"/>
        <v>4</v>
      </c>
      <c r="AV25" s="34">
        <f t="shared" si="12"/>
        <v>0.7997</v>
      </c>
      <c r="AW25" s="29">
        <f t="shared" si="40"/>
        <v>8</v>
      </c>
      <c r="AX25" s="30">
        <f t="shared" si="41"/>
        <v>1971977</v>
      </c>
      <c r="AY25" s="30">
        <f t="shared" si="13"/>
        <v>1153.88</v>
      </c>
      <c r="AZ25" s="29">
        <f t="shared" si="42"/>
        <v>58</v>
      </c>
      <c r="BA25" s="34">
        <f t="shared" si="43"/>
        <v>0.2003</v>
      </c>
      <c r="BB25" s="30">
        <f t="shared" si="14"/>
        <v>9843718</v>
      </c>
      <c r="BC25" s="30">
        <f t="shared" si="15"/>
        <v>5759.93</v>
      </c>
      <c r="BD25" s="29">
        <f t="shared" si="44"/>
        <v>45</v>
      </c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</row>
    <row r="26" spans="1:153" s="6" customFormat="1" ht="12.75">
      <c r="A26" s="418">
        <v>19</v>
      </c>
      <c r="B26" s="326" t="s">
        <v>20</v>
      </c>
      <c r="C26" s="29">
        <f>'Table 8 Membership'!U26</f>
        <v>2428</v>
      </c>
      <c r="D26" s="326">
        <v>2016</v>
      </c>
      <c r="E26" s="313">
        <f t="shared" si="16"/>
        <v>1123668</v>
      </c>
      <c r="F26" s="29">
        <f t="shared" si="0"/>
        <v>343</v>
      </c>
      <c r="G26" s="326">
        <f>'[3]Sheet1'!C21</f>
        <v>540</v>
      </c>
      <c r="H26" s="313">
        <f t="shared" si="17"/>
        <v>88452</v>
      </c>
      <c r="I26" s="29">
        <f t="shared" si="1"/>
        <v>27</v>
      </c>
      <c r="J26" s="326">
        <f>'[1]Sheet1'!C24</f>
        <v>392</v>
      </c>
      <c r="K26" s="313">
        <f t="shared" si="18"/>
        <v>1926288</v>
      </c>
      <c r="L26" s="29">
        <f t="shared" si="2"/>
        <v>588</v>
      </c>
      <c r="M26" s="326">
        <f>'[1]Sheet1'!D24</f>
        <v>4</v>
      </c>
      <c r="N26" s="30">
        <f t="shared" si="19"/>
        <v>6552</v>
      </c>
      <c r="O26" s="29">
        <f t="shared" si="3"/>
        <v>2</v>
      </c>
      <c r="P26" s="29">
        <f t="shared" si="4"/>
        <v>5072</v>
      </c>
      <c r="Q26" s="244">
        <f t="shared" si="5"/>
        <v>0.13525</v>
      </c>
      <c r="R26" s="30">
        <f t="shared" si="20"/>
        <v>1074528</v>
      </c>
      <c r="S26" s="29">
        <f t="shared" si="21"/>
        <v>328</v>
      </c>
      <c r="T26" s="29">
        <f t="shared" si="22"/>
        <v>1288</v>
      </c>
      <c r="U26" s="29">
        <f t="shared" si="23"/>
        <v>3716</v>
      </c>
      <c r="V26" s="30">
        <f t="shared" si="24"/>
        <v>3276</v>
      </c>
      <c r="W26" s="30">
        <f t="shared" si="25"/>
        <v>12173616</v>
      </c>
      <c r="X26" s="33">
        <f>'Table 6 Local Wealth Factor'!L26</f>
        <v>0.63753395</v>
      </c>
      <c r="Y26" s="33">
        <f t="shared" si="26"/>
        <v>0.00384391</v>
      </c>
      <c r="Z26" s="33">
        <f t="shared" si="27"/>
        <v>0.00245062</v>
      </c>
      <c r="AA26" s="30">
        <f t="shared" si="6"/>
        <v>2716379</v>
      </c>
      <c r="AB26" s="34">
        <f t="shared" si="28"/>
        <v>0.2231</v>
      </c>
      <c r="AC26" s="340">
        <f t="shared" si="29"/>
        <v>9457237</v>
      </c>
      <c r="AD26" s="34">
        <f t="shared" si="30"/>
        <v>0.7769</v>
      </c>
      <c r="AE26" s="645">
        <f>'Table 7 Local Revenue'!AL25</f>
        <v>4279709</v>
      </c>
      <c r="AF26" s="30">
        <f t="shared" si="31"/>
        <v>1563330</v>
      </c>
      <c r="AG26" s="37">
        <f t="shared" si="32"/>
        <v>0</v>
      </c>
      <c r="AH26" s="30">
        <f t="shared" si="7"/>
        <v>4017293</v>
      </c>
      <c r="AI26" s="35">
        <f t="shared" si="33"/>
        <v>1563330</v>
      </c>
      <c r="AJ26" s="340">
        <f t="shared" si="8"/>
        <v>965324</v>
      </c>
      <c r="AK26" s="34">
        <f t="shared" si="34"/>
        <v>0.6175</v>
      </c>
      <c r="AL26" s="30">
        <f t="shared" si="9"/>
        <v>1515273</v>
      </c>
      <c r="AM26" s="30">
        <f t="shared" si="35"/>
        <v>2528654</v>
      </c>
      <c r="AN26" s="30">
        <f t="shared" si="36"/>
        <v>10422561</v>
      </c>
      <c r="AO26" s="30">
        <f t="shared" si="10"/>
        <v>4292.65</v>
      </c>
      <c r="AP26" s="30">
        <f>'Table 4 Level 3'!Y24</f>
        <v>428294</v>
      </c>
      <c r="AQ26" s="30">
        <f t="shared" si="37"/>
        <v>176.4</v>
      </c>
      <c r="AR26" s="340">
        <f t="shared" si="38"/>
        <v>10850855</v>
      </c>
      <c r="AS26" s="37">
        <f>AR26-'Table 2 Distribution &amp; Adjusts'!L23</f>
        <v>366780</v>
      </c>
      <c r="AT26" s="340">
        <f t="shared" si="11"/>
        <v>4469.05</v>
      </c>
      <c r="AU26" s="29">
        <f t="shared" si="39"/>
        <v>8</v>
      </c>
      <c r="AV26" s="34">
        <f t="shared" si="12"/>
        <v>0.7171</v>
      </c>
      <c r="AW26" s="29">
        <f t="shared" si="40"/>
        <v>21</v>
      </c>
      <c r="AX26" s="30">
        <f t="shared" si="41"/>
        <v>4279709</v>
      </c>
      <c r="AY26" s="30">
        <f t="shared" si="13"/>
        <v>1762.65</v>
      </c>
      <c r="AZ26" s="29">
        <f t="shared" si="42"/>
        <v>43</v>
      </c>
      <c r="BA26" s="34">
        <f t="shared" si="43"/>
        <v>0.2829</v>
      </c>
      <c r="BB26" s="30">
        <f t="shared" si="14"/>
        <v>15130564</v>
      </c>
      <c r="BC26" s="30">
        <f t="shared" si="15"/>
        <v>6231.7</v>
      </c>
      <c r="BD26" s="29">
        <f t="shared" si="44"/>
        <v>24</v>
      </c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</row>
    <row r="27" spans="1:153" s="49" customFormat="1" ht="12.75">
      <c r="A27" s="419">
        <v>20</v>
      </c>
      <c r="B27" s="329" t="s">
        <v>21</v>
      </c>
      <c r="C27" s="43">
        <f>'Table 8 Membership'!U27</f>
        <v>6183</v>
      </c>
      <c r="D27" s="326">
        <v>4687</v>
      </c>
      <c r="E27" s="313">
        <f t="shared" si="16"/>
        <v>2610972</v>
      </c>
      <c r="F27" s="43">
        <f t="shared" si="0"/>
        <v>797</v>
      </c>
      <c r="G27" s="326">
        <f>'[3]Sheet1'!C22</f>
        <v>1826</v>
      </c>
      <c r="H27" s="313">
        <f t="shared" si="17"/>
        <v>298116</v>
      </c>
      <c r="I27" s="43">
        <f t="shared" si="1"/>
        <v>91</v>
      </c>
      <c r="J27" s="326">
        <f>'[1]Sheet1'!C25</f>
        <v>1083</v>
      </c>
      <c r="K27" s="313">
        <f t="shared" si="18"/>
        <v>5323500</v>
      </c>
      <c r="L27" s="43">
        <f t="shared" si="2"/>
        <v>1625</v>
      </c>
      <c r="M27" s="326">
        <f>'[1]Sheet1'!D25</f>
        <v>42</v>
      </c>
      <c r="N27" s="30">
        <f t="shared" si="19"/>
        <v>81900</v>
      </c>
      <c r="O27" s="43">
        <f t="shared" si="3"/>
        <v>25</v>
      </c>
      <c r="P27" s="43">
        <f t="shared" si="4"/>
        <v>1317</v>
      </c>
      <c r="Q27" s="245">
        <f t="shared" si="5"/>
        <v>0.03512</v>
      </c>
      <c r="R27" s="44">
        <f t="shared" si="20"/>
        <v>710892</v>
      </c>
      <c r="S27" s="43">
        <f t="shared" si="21"/>
        <v>217</v>
      </c>
      <c r="T27" s="43">
        <f t="shared" si="22"/>
        <v>2755</v>
      </c>
      <c r="U27" s="29">
        <f t="shared" si="23"/>
        <v>8938</v>
      </c>
      <c r="V27" s="44">
        <f t="shared" si="24"/>
        <v>3276</v>
      </c>
      <c r="W27" s="44">
        <f t="shared" si="25"/>
        <v>29280888</v>
      </c>
      <c r="X27" s="46">
        <f>'Table 6 Local Wealth Factor'!L27</f>
        <v>0.49092742</v>
      </c>
      <c r="Y27" s="46">
        <f t="shared" si="26"/>
        <v>0.00924566</v>
      </c>
      <c r="Z27" s="46">
        <f t="shared" si="27"/>
        <v>0.00453895</v>
      </c>
      <c r="AA27" s="44">
        <f t="shared" si="6"/>
        <v>5031180</v>
      </c>
      <c r="AB27" s="47">
        <f t="shared" si="28"/>
        <v>0.1718</v>
      </c>
      <c r="AC27" s="341">
        <f t="shared" si="29"/>
        <v>24249708</v>
      </c>
      <c r="AD27" s="47">
        <f t="shared" si="30"/>
        <v>0.8282</v>
      </c>
      <c r="AE27" s="646">
        <f>'Table 7 Local Revenue'!AL26</f>
        <v>8278023</v>
      </c>
      <c r="AF27" s="44">
        <f t="shared" si="31"/>
        <v>3246843</v>
      </c>
      <c r="AG27" s="55">
        <f t="shared" si="32"/>
        <v>0</v>
      </c>
      <c r="AH27" s="44">
        <f t="shared" si="7"/>
        <v>9662693</v>
      </c>
      <c r="AI27" s="48">
        <f t="shared" si="33"/>
        <v>3246843</v>
      </c>
      <c r="AJ27" s="341">
        <f t="shared" si="8"/>
        <v>2290464</v>
      </c>
      <c r="AK27" s="47">
        <f t="shared" si="34"/>
        <v>0.7054</v>
      </c>
      <c r="AL27" s="44">
        <f t="shared" si="9"/>
        <v>4526020</v>
      </c>
      <c r="AM27" s="44">
        <f t="shared" si="35"/>
        <v>5537307</v>
      </c>
      <c r="AN27" s="44">
        <f t="shared" si="36"/>
        <v>26540172</v>
      </c>
      <c r="AO27" s="44">
        <f t="shared" si="10"/>
        <v>4292.44</v>
      </c>
      <c r="AP27" s="44">
        <f>'Table 4 Level 3'!Y25</f>
        <v>185490</v>
      </c>
      <c r="AQ27" s="44">
        <f t="shared" si="37"/>
        <v>30</v>
      </c>
      <c r="AR27" s="341">
        <f t="shared" si="38"/>
        <v>26725662</v>
      </c>
      <c r="AS27" s="55">
        <f>AR27-'Table 2 Distribution &amp; Adjusts'!L24</f>
        <v>4266283</v>
      </c>
      <c r="AT27" s="341">
        <f t="shared" si="11"/>
        <v>4322.44</v>
      </c>
      <c r="AU27" s="43">
        <f t="shared" si="39"/>
        <v>14</v>
      </c>
      <c r="AV27" s="47">
        <f t="shared" si="12"/>
        <v>0.7635</v>
      </c>
      <c r="AW27" s="43">
        <f t="shared" si="40"/>
        <v>10</v>
      </c>
      <c r="AX27" s="44">
        <f t="shared" si="41"/>
        <v>8278023</v>
      </c>
      <c r="AY27" s="44">
        <f t="shared" si="13"/>
        <v>1338.84</v>
      </c>
      <c r="AZ27" s="43">
        <f t="shared" si="42"/>
        <v>55</v>
      </c>
      <c r="BA27" s="47">
        <f t="shared" si="43"/>
        <v>0.2365</v>
      </c>
      <c r="BB27" s="44">
        <f t="shared" si="14"/>
        <v>35003685</v>
      </c>
      <c r="BC27" s="44">
        <f t="shared" si="15"/>
        <v>5661.28</v>
      </c>
      <c r="BD27" s="43">
        <f t="shared" si="44"/>
        <v>48</v>
      </c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</row>
    <row r="28" spans="1:153" s="6" customFormat="1" ht="12.75">
      <c r="A28" s="418">
        <v>21</v>
      </c>
      <c r="B28" s="326" t="s">
        <v>22</v>
      </c>
      <c r="C28" s="29">
        <f>'Table 8 Membership'!U28</f>
        <v>3702</v>
      </c>
      <c r="D28" s="326">
        <v>2684</v>
      </c>
      <c r="E28" s="313">
        <f t="shared" si="16"/>
        <v>1493856</v>
      </c>
      <c r="F28" s="29">
        <f t="shared" si="0"/>
        <v>456</v>
      </c>
      <c r="G28" s="326">
        <f>'[3]Sheet1'!C23</f>
        <v>1112</v>
      </c>
      <c r="H28" s="313">
        <f t="shared" si="17"/>
        <v>183456</v>
      </c>
      <c r="I28" s="29">
        <f t="shared" si="1"/>
        <v>56</v>
      </c>
      <c r="J28" s="326">
        <f>'[1]Sheet1'!C26</f>
        <v>441</v>
      </c>
      <c r="K28" s="313">
        <f t="shared" si="18"/>
        <v>2168712</v>
      </c>
      <c r="L28" s="29">
        <f t="shared" si="2"/>
        <v>662</v>
      </c>
      <c r="M28" s="326">
        <f>'[1]Sheet1'!D26</f>
        <v>103</v>
      </c>
      <c r="N28" s="30">
        <f t="shared" si="19"/>
        <v>203112</v>
      </c>
      <c r="O28" s="29">
        <f t="shared" si="3"/>
        <v>62</v>
      </c>
      <c r="P28" s="29">
        <f t="shared" si="4"/>
        <v>3798</v>
      </c>
      <c r="Q28" s="244">
        <f t="shared" si="5"/>
        <v>0.10128</v>
      </c>
      <c r="R28" s="30">
        <f t="shared" si="20"/>
        <v>1228500</v>
      </c>
      <c r="S28" s="29">
        <f t="shared" si="21"/>
        <v>375</v>
      </c>
      <c r="T28" s="29">
        <f t="shared" si="22"/>
        <v>1611</v>
      </c>
      <c r="U28" s="104">
        <f t="shared" si="23"/>
        <v>5313</v>
      </c>
      <c r="V28" s="30">
        <f t="shared" si="24"/>
        <v>3276</v>
      </c>
      <c r="W28" s="30">
        <f t="shared" si="25"/>
        <v>17405388</v>
      </c>
      <c r="X28" s="33">
        <f>'Table 6 Local Wealth Factor'!L28</f>
        <v>0.50240187</v>
      </c>
      <c r="Y28" s="33">
        <f t="shared" si="26"/>
        <v>0.00549588</v>
      </c>
      <c r="Z28" s="33">
        <f t="shared" si="27"/>
        <v>0.00276114</v>
      </c>
      <c r="AA28" s="30">
        <f t="shared" si="6"/>
        <v>3060574</v>
      </c>
      <c r="AB28" s="34">
        <f t="shared" si="28"/>
        <v>0.1758</v>
      </c>
      <c r="AC28" s="340">
        <f t="shared" si="29"/>
        <v>14344814</v>
      </c>
      <c r="AD28" s="34">
        <f t="shared" si="30"/>
        <v>0.8242</v>
      </c>
      <c r="AE28" s="645">
        <f>'Table 7 Local Revenue'!AL27</f>
        <v>3357953</v>
      </c>
      <c r="AF28" s="30">
        <f t="shared" si="31"/>
        <v>297379</v>
      </c>
      <c r="AG28" s="37">
        <f t="shared" si="32"/>
        <v>0</v>
      </c>
      <c r="AH28" s="30">
        <f t="shared" si="7"/>
        <v>5743778</v>
      </c>
      <c r="AI28" s="35">
        <f t="shared" si="33"/>
        <v>297379</v>
      </c>
      <c r="AJ28" s="340">
        <f t="shared" si="8"/>
        <v>207737</v>
      </c>
      <c r="AK28" s="34">
        <f t="shared" si="34"/>
        <v>0.6986</v>
      </c>
      <c r="AL28" s="30">
        <f t="shared" si="9"/>
        <v>3804630</v>
      </c>
      <c r="AM28" s="30">
        <f t="shared" si="35"/>
        <v>505116</v>
      </c>
      <c r="AN28" s="30">
        <f t="shared" si="36"/>
        <v>14552551</v>
      </c>
      <c r="AO28" s="30">
        <f t="shared" si="10"/>
        <v>3931</v>
      </c>
      <c r="AP28" s="30">
        <f>'Table 4 Level 3'!Y26</f>
        <v>314670</v>
      </c>
      <c r="AQ28" s="30">
        <f t="shared" si="37"/>
        <v>85</v>
      </c>
      <c r="AR28" s="340">
        <f t="shared" si="38"/>
        <v>14867221</v>
      </c>
      <c r="AS28" s="37">
        <f>AR28-'Table 2 Distribution &amp; Adjusts'!L25</f>
        <v>411402</v>
      </c>
      <c r="AT28" s="340">
        <f t="shared" si="11"/>
        <v>4016</v>
      </c>
      <c r="AU28" s="29">
        <f t="shared" si="39"/>
        <v>28</v>
      </c>
      <c r="AV28" s="34">
        <f t="shared" si="12"/>
        <v>0.8158</v>
      </c>
      <c r="AW28" s="29">
        <f t="shared" si="40"/>
        <v>3</v>
      </c>
      <c r="AX28" s="30">
        <f t="shared" si="41"/>
        <v>3357953</v>
      </c>
      <c r="AY28" s="30">
        <f t="shared" si="13"/>
        <v>907.06</v>
      </c>
      <c r="AZ28" s="29">
        <f t="shared" si="42"/>
        <v>64</v>
      </c>
      <c r="BA28" s="34">
        <f t="shared" si="43"/>
        <v>0.1842</v>
      </c>
      <c r="BB28" s="30">
        <f t="shared" si="14"/>
        <v>18225174</v>
      </c>
      <c r="BC28" s="30">
        <f t="shared" si="15"/>
        <v>4923.06</v>
      </c>
      <c r="BD28" s="29">
        <f t="shared" si="44"/>
        <v>64</v>
      </c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</row>
    <row r="29" spans="1:153" s="6" customFormat="1" ht="12.75">
      <c r="A29" s="418">
        <v>22</v>
      </c>
      <c r="B29" s="326" t="s">
        <v>23</v>
      </c>
      <c r="C29" s="29">
        <f>'Table 8 Membership'!U29</f>
        <v>3572</v>
      </c>
      <c r="D29" s="326">
        <v>2162</v>
      </c>
      <c r="E29" s="313">
        <f t="shared" si="16"/>
        <v>1205568</v>
      </c>
      <c r="F29" s="29">
        <f t="shared" si="0"/>
        <v>368</v>
      </c>
      <c r="G29" s="326">
        <f>'[3]Sheet1'!C24</f>
        <v>1235</v>
      </c>
      <c r="H29" s="313">
        <f t="shared" si="17"/>
        <v>203112</v>
      </c>
      <c r="I29" s="29">
        <f t="shared" si="1"/>
        <v>62</v>
      </c>
      <c r="J29" s="326">
        <f>'[1]Sheet1'!C27</f>
        <v>543</v>
      </c>
      <c r="K29" s="313">
        <f t="shared" si="18"/>
        <v>2669940</v>
      </c>
      <c r="L29" s="29">
        <f t="shared" si="2"/>
        <v>815</v>
      </c>
      <c r="M29" s="326">
        <f>'[1]Sheet1'!D27</f>
        <v>54</v>
      </c>
      <c r="N29" s="30">
        <f t="shared" si="19"/>
        <v>104832</v>
      </c>
      <c r="O29" s="29">
        <f t="shared" si="3"/>
        <v>32</v>
      </c>
      <c r="P29" s="29">
        <f t="shared" si="4"/>
        <v>3928</v>
      </c>
      <c r="Q29" s="244">
        <f t="shared" si="5"/>
        <v>0.10475</v>
      </c>
      <c r="R29" s="30">
        <f t="shared" si="20"/>
        <v>1225224</v>
      </c>
      <c r="S29" s="29">
        <f t="shared" si="21"/>
        <v>374</v>
      </c>
      <c r="T29" s="29">
        <f t="shared" si="22"/>
        <v>1651</v>
      </c>
      <c r="U29" s="29">
        <f t="shared" si="23"/>
        <v>5223</v>
      </c>
      <c r="V29" s="30">
        <f t="shared" si="24"/>
        <v>3276</v>
      </c>
      <c r="W29" s="30">
        <f t="shared" si="25"/>
        <v>17110548</v>
      </c>
      <c r="X29" s="33">
        <f>'Table 6 Local Wealth Factor'!L29</f>
        <v>0.32327498</v>
      </c>
      <c r="Y29" s="33">
        <f t="shared" si="26"/>
        <v>0.00540278</v>
      </c>
      <c r="Z29" s="33">
        <f t="shared" si="27"/>
        <v>0.00174658</v>
      </c>
      <c r="AA29" s="30">
        <f t="shared" si="6"/>
        <v>1935989</v>
      </c>
      <c r="AB29" s="34">
        <f t="shared" si="28"/>
        <v>0.1131</v>
      </c>
      <c r="AC29" s="340">
        <f t="shared" si="29"/>
        <v>15174559</v>
      </c>
      <c r="AD29" s="34">
        <f t="shared" si="30"/>
        <v>0.8869</v>
      </c>
      <c r="AE29" s="645">
        <f>'Table 7 Local Revenue'!AL28</f>
        <v>2942903</v>
      </c>
      <c r="AF29" s="30">
        <f t="shared" si="31"/>
        <v>1006914</v>
      </c>
      <c r="AG29" s="37">
        <f t="shared" si="32"/>
        <v>0</v>
      </c>
      <c r="AH29" s="30">
        <f t="shared" si="7"/>
        <v>5646481</v>
      </c>
      <c r="AI29" s="35">
        <f t="shared" si="33"/>
        <v>1006914</v>
      </c>
      <c r="AJ29" s="340">
        <f t="shared" si="8"/>
        <v>811608</v>
      </c>
      <c r="AK29" s="34">
        <f t="shared" si="34"/>
        <v>0.806</v>
      </c>
      <c r="AL29" s="30">
        <f t="shared" si="9"/>
        <v>3739653</v>
      </c>
      <c r="AM29" s="30">
        <f t="shared" si="35"/>
        <v>1818522</v>
      </c>
      <c r="AN29" s="30">
        <f t="shared" si="36"/>
        <v>15986167</v>
      </c>
      <c r="AO29" s="30">
        <f t="shared" si="10"/>
        <v>4475.41</v>
      </c>
      <c r="AP29" s="30">
        <f>'Table 4 Level 3'!Y27</f>
        <v>0</v>
      </c>
      <c r="AQ29" s="30">
        <f t="shared" si="37"/>
        <v>0</v>
      </c>
      <c r="AR29" s="340">
        <f t="shared" si="38"/>
        <v>15986167</v>
      </c>
      <c r="AS29" s="37">
        <f>AR29-'Table 2 Distribution &amp; Adjusts'!L26</f>
        <v>705483</v>
      </c>
      <c r="AT29" s="340">
        <f t="shared" si="11"/>
        <v>4475.41</v>
      </c>
      <c r="AU29" s="29">
        <f t="shared" si="39"/>
        <v>6</v>
      </c>
      <c r="AV29" s="34">
        <f t="shared" si="12"/>
        <v>0.8445</v>
      </c>
      <c r="AW29" s="29">
        <f t="shared" si="40"/>
        <v>1</v>
      </c>
      <c r="AX29" s="30">
        <f t="shared" si="41"/>
        <v>2942903</v>
      </c>
      <c r="AY29" s="30">
        <f t="shared" si="13"/>
        <v>823.88</v>
      </c>
      <c r="AZ29" s="29">
        <f t="shared" si="42"/>
        <v>66</v>
      </c>
      <c r="BA29" s="34">
        <f t="shared" si="43"/>
        <v>0.1555</v>
      </c>
      <c r="BB29" s="30">
        <f t="shared" si="14"/>
        <v>18929070</v>
      </c>
      <c r="BC29" s="30">
        <f t="shared" si="15"/>
        <v>5299.29</v>
      </c>
      <c r="BD29" s="29">
        <f t="shared" si="44"/>
        <v>58</v>
      </c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</row>
    <row r="30" spans="1:153" s="6" customFormat="1" ht="12.75">
      <c r="A30" s="418">
        <v>23</v>
      </c>
      <c r="B30" s="326" t="s">
        <v>24</v>
      </c>
      <c r="C30" s="29">
        <f>'Table 8 Membership'!U30</f>
        <v>14042</v>
      </c>
      <c r="D30" s="326">
        <v>8288</v>
      </c>
      <c r="E30" s="313">
        <f t="shared" si="16"/>
        <v>4615884</v>
      </c>
      <c r="F30" s="29">
        <f t="shared" si="0"/>
        <v>1409</v>
      </c>
      <c r="G30" s="326">
        <f>'[3]Sheet1'!C25</f>
        <v>4392</v>
      </c>
      <c r="H30" s="313">
        <f t="shared" si="17"/>
        <v>720720</v>
      </c>
      <c r="I30" s="29">
        <f t="shared" si="1"/>
        <v>220</v>
      </c>
      <c r="J30" s="326">
        <f>'[1]Sheet1'!C28</f>
        <v>2433</v>
      </c>
      <c r="K30" s="313">
        <f t="shared" si="18"/>
        <v>11957400</v>
      </c>
      <c r="L30" s="29">
        <f t="shared" si="2"/>
        <v>3650</v>
      </c>
      <c r="M30" s="326">
        <f>'[1]Sheet1'!D28</f>
        <v>504</v>
      </c>
      <c r="N30" s="30">
        <f t="shared" si="19"/>
        <v>989352</v>
      </c>
      <c r="O30" s="29">
        <f t="shared" si="3"/>
        <v>302</v>
      </c>
      <c r="P30" s="29">
        <f t="shared" si="4"/>
        <v>0</v>
      </c>
      <c r="Q30" s="244">
        <f t="shared" si="5"/>
        <v>0</v>
      </c>
      <c r="R30" s="30">
        <f t="shared" si="20"/>
        <v>0</v>
      </c>
      <c r="S30" s="29">
        <f t="shared" si="21"/>
        <v>0</v>
      </c>
      <c r="T30" s="29">
        <f t="shared" si="22"/>
        <v>5581</v>
      </c>
      <c r="U30" s="29">
        <f t="shared" si="23"/>
        <v>19623</v>
      </c>
      <c r="V30" s="30">
        <f t="shared" si="24"/>
        <v>3276</v>
      </c>
      <c r="W30" s="30">
        <f t="shared" si="25"/>
        <v>64284948</v>
      </c>
      <c r="X30" s="33">
        <f>'Table 6 Local Wealth Factor'!L30</f>
        <v>0.7468678</v>
      </c>
      <c r="Y30" s="33">
        <f t="shared" si="26"/>
        <v>0.02029845</v>
      </c>
      <c r="Z30" s="33">
        <f t="shared" si="27"/>
        <v>0.01516026</v>
      </c>
      <c r="AA30" s="30">
        <f t="shared" si="6"/>
        <v>16804326</v>
      </c>
      <c r="AB30" s="34">
        <f t="shared" si="28"/>
        <v>0.2614</v>
      </c>
      <c r="AC30" s="340">
        <f t="shared" si="29"/>
        <v>47480622</v>
      </c>
      <c r="AD30" s="34">
        <f t="shared" si="30"/>
        <v>0.7386</v>
      </c>
      <c r="AE30" s="645">
        <f>'Table 7 Local Revenue'!AL29</f>
        <v>28913927.5</v>
      </c>
      <c r="AF30" s="30">
        <f t="shared" si="31"/>
        <v>12109601.5</v>
      </c>
      <c r="AG30" s="37">
        <f t="shared" si="32"/>
        <v>0</v>
      </c>
      <c r="AH30" s="30">
        <f t="shared" si="7"/>
        <v>21214033</v>
      </c>
      <c r="AI30" s="35">
        <f t="shared" si="33"/>
        <v>12109601.5</v>
      </c>
      <c r="AJ30" s="340">
        <f t="shared" si="8"/>
        <v>6683039</v>
      </c>
      <c r="AK30" s="34">
        <f t="shared" si="34"/>
        <v>0.5519</v>
      </c>
      <c r="AL30" s="30">
        <f t="shared" si="9"/>
        <v>5024547</v>
      </c>
      <c r="AM30" s="30">
        <f t="shared" si="35"/>
        <v>18792640.5</v>
      </c>
      <c r="AN30" s="30">
        <f t="shared" si="36"/>
        <v>54163661</v>
      </c>
      <c r="AO30" s="30">
        <f t="shared" si="10"/>
        <v>3857.26</v>
      </c>
      <c r="AP30" s="30">
        <f>'Table 4 Level 3'!Y28</f>
        <v>899697</v>
      </c>
      <c r="AQ30" s="30">
        <f t="shared" si="37"/>
        <v>64.07</v>
      </c>
      <c r="AR30" s="340">
        <f t="shared" si="38"/>
        <v>55063358</v>
      </c>
      <c r="AS30" s="37">
        <f>AR30-'Table 2 Distribution &amp; Adjusts'!L27</f>
        <v>408280</v>
      </c>
      <c r="AT30" s="340">
        <f t="shared" si="11"/>
        <v>3921.33</v>
      </c>
      <c r="AU30" s="29">
        <f t="shared" si="39"/>
        <v>33</v>
      </c>
      <c r="AV30" s="34">
        <f t="shared" si="12"/>
        <v>0.6557</v>
      </c>
      <c r="AW30" s="29">
        <f t="shared" si="40"/>
        <v>36</v>
      </c>
      <c r="AX30" s="30">
        <f t="shared" si="41"/>
        <v>28913927.5</v>
      </c>
      <c r="AY30" s="30">
        <f t="shared" si="13"/>
        <v>2059.1</v>
      </c>
      <c r="AZ30" s="29">
        <f t="shared" si="42"/>
        <v>33</v>
      </c>
      <c r="BA30" s="34">
        <f t="shared" si="43"/>
        <v>0.3443</v>
      </c>
      <c r="BB30" s="30">
        <f t="shared" si="14"/>
        <v>83977285.5</v>
      </c>
      <c r="BC30" s="30">
        <f t="shared" si="15"/>
        <v>5980.44</v>
      </c>
      <c r="BD30" s="29">
        <f t="shared" si="44"/>
        <v>35</v>
      </c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</row>
    <row r="31" spans="1:153" s="6" customFormat="1" ht="12.75">
      <c r="A31" s="418">
        <v>24</v>
      </c>
      <c r="B31" s="326" t="s">
        <v>25</v>
      </c>
      <c r="C31" s="29">
        <f>'Table 8 Membership'!U31</f>
        <v>4567</v>
      </c>
      <c r="D31" s="326">
        <v>3730</v>
      </c>
      <c r="E31" s="313">
        <f t="shared" si="16"/>
        <v>2076984</v>
      </c>
      <c r="F31" s="29">
        <f t="shared" si="0"/>
        <v>634</v>
      </c>
      <c r="G31" s="326">
        <f>'[3]Sheet1'!C26</f>
        <v>1527</v>
      </c>
      <c r="H31" s="313">
        <f t="shared" si="17"/>
        <v>248976</v>
      </c>
      <c r="I31" s="29">
        <f t="shared" si="1"/>
        <v>76</v>
      </c>
      <c r="J31" s="326">
        <f>'[1]Sheet1'!C29</f>
        <v>688</v>
      </c>
      <c r="K31" s="313">
        <f t="shared" si="18"/>
        <v>3380832</v>
      </c>
      <c r="L31" s="29">
        <f t="shared" si="2"/>
        <v>1032</v>
      </c>
      <c r="M31" s="326">
        <f>'[1]Sheet1'!D29</f>
        <v>68</v>
      </c>
      <c r="N31" s="30">
        <f t="shared" si="19"/>
        <v>134316</v>
      </c>
      <c r="O31" s="29">
        <f t="shared" si="3"/>
        <v>41</v>
      </c>
      <c r="P31" s="29">
        <f t="shared" si="4"/>
        <v>2933</v>
      </c>
      <c r="Q31" s="244">
        <f t="shared" si="5"/>
        <v>0.07821</v>
      </c>
      <c r="R31" s="30">
        <f t="shared" si="20"/>
        <v>1169532</v>
      </c>
      <c r="S31" s="29">
        <f t="shared" si="21"/>
        <v>357</v>
      </c>
      <c r="T31" s="29">
        <f t="shared" si="22"/>
        <v>2140</v>
      </c>
      <c r="U31" s="29">
        <f t="shared" si="23"/>
        <v>6707</v>
      </c>
      <c r="V31" s="30">
        <f t="shared" si="24"/>
        <v>3276</v>
      </c>
      <c r="W31" s="30">
        <f t="shared" si="25"/>
        <v>21972132</v>
      </c>
      <c r="X31" s="33">
        <f>'Table 6 Local Wealth Factor'!L31</f>
        <v>1.8803232</v>
      </c>
      <c r="Y31" s="33">
        <f t="shared" si="26"/>
        <v>0.00693786</v>
      </c>
      <c r="Z31" s="33">
        <f t="shared" si="27"/>
        <v>0.01304542</v>
      </c>
      <c r="AA31" s="30">
        <f t="shared" si="6"/>
        <v>14460140</v>
      </c>
      <c r="AB31" s="34">
        <f t="shared" si="28"/>
        <v>0.6581</v>
      </c>
      <c r="AC31" s="340">
        <f t="shared" si="29"/>
        <v>7511992</v>
      </c>
      <c r="AD31" s="34">
        <f t="shared" si="30"/>
        <v>0.3419</v>
      </c>
      <c r="AE31" s="645">
        <f>'Table 7 Local Revenue'!AL30</f>
        <v>23782088.5</v>
      </c>
      <c r="AF31" s="30">
        <f t="shared" si="31"/>
        <v>9321948.5</v>
      </c>
      <c r="AG31" s="37">
        <f t="shared" si="32"/>
        <v>0</v>
      </c>
      <c r="AH31" s="30">
        <f t="shared" si="7"/>
        <v>7250804</v>
      </c>
      <c r="AI31" s="35">
        <f t="shared" si="33"/>
        <v>7250804</v>
      </c>
      <c r="AJ31" s="340">
        <f t="shared" si="8"/>
        <v>0</v>
      </c>
      <c r="AK31" s="34">
        <f t="shared" si="34"/>
        <v>0</v>
      </c>
      <c r="AL31" s="30">
        <f t="shared" si="9"/>
        <v>0</v>
      </c>
      <c r="AM31" s="30">
        <f t="shared" si="35"/>
        <v>7250804</v>
      </c>
      <c r="AN31" s="30">
        <f t="shared" si="36"/>
        <v>7511992</v>
      </c>
      <c r="AO31" s="30">
        <f t="shared" si="10"/>
        <v>1644.84</v>
      </c>
      <c r="AP31" s="30">
        <f>'Table 4 Level 3'!Y29</f>
        <v>3457219</v>
      </c>
      <c r="AQ31" s="30">
        <f t="shared" si="37"/>
        <v>757</v>
      </c>
      <c r="AR31" s="340">
        <f t="shared" si="38"/>
        <v>10969211</v>
      </c>
      <c r="AS31" s="37">
        <f>AR31-'Table 2 Distribution &amp; Adjusts'!L28</f>
        <v>-2260158</v>
      </c>
      <c r="AT31" s="340">
        <f t="shared" si="11"/>
        <v>2401.84</v>
      </c>
      <c r="AU31" s="29">
        <f t="shared" si="39"/>
        <v>65</v>
      </c>
      <c r="AV31" s="34">
        <f t="shared" si="12"/>
        <v>0.3357</v>
      </c>
      <c r="AW31" s="29">
        <f t="shared" si="40"/>
        <v>66</v>
      </c>
      <c r="AX31" s="30">
        <f t="shared" si="41"/>
        <v>21710944</v>
      </c>
      <c r="AY31" s="30">
        <f t="shared" si="13"/>
        <v>4753.87</v>
      </c>
      <c r="AZ31" s="29">
        <f t="shared" si="42"/>
        <v>1</v>
      </c>
      <c r="BA31" s="34">
        <f t="shared" si="43"/>
        <v>0.6643</v>
      </c>
      <c r="BB31" s="30">
        <f t="shared" si="14"/>
        <v>32680155</v>
      </c>
      <c r="BC31" s="30">
        <f t="shared" si="15"/>
        <v>7155.72</v>
      </c>
      <c r="BD31" s="29">
        <f t="shared" si="44"/>
        <v>5</v>
      </c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</row>
    <row r="32" spans="1:153" s="49" customFormat="1" ht="12.75">
      <c r="A32" s="419">
        <v>25</v>
      </c>
      <c r="B32" s="329" t="s">
        <v>26</v>
      </c>
      <c r="C32" s="43">
        <f>'Table 8 Membership'!U32</f>
        <v>2433</v>
      </c>
      <c r="D32" s="326">
        <v>1310</v>
      </c>
      <c r="E32" s="313">
        <f t="shared" si="16"/>
        <v>730548</v>
      </c>
      <c r="F32" s="43">
        <f t="shared" si="0"/>
        <v>223</v>
      </c>
      <c r="G32" s="326">
        <f>'[3]Sheet1'!C27</f>
        <v>972</v>
      </c>
      <c r="H32" s="313">
        <f t="shared" si="17"/>
        <v>160524</v>
      </c>
      <c r="I32" s="43">
        <f t="shared" si="1"/>
        <v>49</v>
      </c>
      <c r="J32" s="326">
        <f>'[1]Sheet1'!C30</f>
        <v>283</v>
      </c>
      <c r="K32" s="313">
        <f t="shared" si="18"/>
        <v>1392300</v>
      </c>
      <c r="L32" s="43">
        <f t="shared" si="2"/>
        <v>425</v>
      </c>
      <c r="M32" s="326">
        <f>'[1]Sheet1'!D30</f>
        <v>66</v>
      </c>
      <c r="N32" s="30">
        <f t="shared" si="19"/>
        <v>131040</v>
      </c>
      <c r="O32" s="43">
        <f t="shared" si="3"/>
        <v>40</v>
      </c>
      <c r="P32" s="43">
        <f t="shared" si="4"/>
        <v>5067</v>
      </c>
      <c r="Q32" s="245">
        <f t="shared" si="5"/>
        <v>0.13512</v>
      </c>
      <c r="R32" s="44">
        <f t="shared" si="20"/>
        <v>1077804</v>
      </c>
      <c r="S32" s="43">
        <f t="shared" si="21"/>
        <v>329</v>
      </c>
      <c r="T32" s="43">
        <f t="shared" si="22"/>
        <v>1066</v>
      </c>
      <c r="U32" s="29">
        <f t="shared" si="23"/>
        <v>3499</v>
      </c>
      <c r="V32" s="44">
        <f t="shared" si="24"/>
        <v>3276</v>
      </c>
      <c r="W32" s="44">
        <f t="shared" si="25"/>
        <v>11462724</v>
      </c>
      <c r="X32" s="46">
        <f>'Table 6 Local Wealth Factor'!L32</f>
        <v>0.80323198</v>
      </c>
      <c r="Y32" s="46">
        <f t="shared" si="26"/>
        <v>0.00361944</v>
      </c>
      <c r="Z32" s="46">
        <f t="shared" si="27"/>
        <v>0.00290725</v>
      </c>
      <c r="AA32" s="44">
        <f t="shared" si="6"/>
        <v>3222529</v>
      </c>
      <c r="AB32" s="47">
        <f t="shared" si="28"/>
        <v>0.2811</v>
      </c>
      <c r="AC32" s="341">
        <f t="shared" si="29"/>
        <v>8240195</v>
      </c>
      <c r="AD32" s="47">
        <f t="shared" si="30"/>
        <v>0.7189</v>
      </c>
      <c r="AE32" s="646">
        <f>'Table 7 Local Revenue'!AL31</f>
        <v>6825620.5</v>
      </c>
      <c r="AF32" s="44">
        <f t="shared" si="31"/>
        <v>3603091.5</v>
      </c>
      <c r="AG32" s="55">
        <f t="shared" si="32"/>
        <v>0</v>
      </c>
      <c r="AH32" s="44">
        <f t="shared" si="7"/>
        <v>3782699</v>
      </c>
      <c r="AI32" s="48">
        <f t="shared" si="33"/>
        <v>3603091.5</v>
      </c>
      <c r="AJ32" s="341">
        <f t="shared" si="8"/>
        <v>1866621</v>
      </c>
      <c r="AK32" s="47">
        <f t="shared" si="34"/>
        <v>0.5181</v>
      </c>
      <c r="AL32" s="44">
        <f t="shared" si="9"/>
        <v>93047</v>
      </c>
      <c r="AM32" s="44">
        <f t="shared" si="35"/>
        <v>5469712.5</v>
      </c>
      <c r="AN32" s="44">
        <f t="shared" si="36"/>
        <v>10106816</v>
      </c>
      <c r="AO32" s="44">
        <f t="shared" si="10"/>
        <v>4154.06</v>
      </c>
      <c r="AP32" s="44">
        <f>'Table 4 Level 3'!Y30</f>
        <v>30102</v>
      </c>
      <c r="AQ32" s="44">
        <f t="shared" si="37"/>
        <v>12.37</v>
      </c>
      <c r="AR32" s="341">
        <f t="shared" si="38"/>
        <v>10136918</v>
      </c>
      <c r="AS32" s="55">
        <f>AR32-'Table 2 Distribution &amp; Adjusts'!L29</f>
        <v>-166470</v>
      </c>
      <c r="AT32" s="341">
        <f t="shared" si="11"/>
        <v>4166.43</v>
      </c>
      <c r="AU32" s="43">
        <f t="shared" si="39"/>
        <v>22</v>
      </c>
      <c r="AV32" s="47">
        <f t="shared" si="12"/>
        <v>0.5976</v>
      </c>
      <c r="AW32" s="43">
        <f t="shared" si="40"/>
        <v>43</v>
      </c>
      <c r="AX32" s="44">
        <f t="shared" si="41"/>
        <v>6825620.5</v>
      </c>
      <c r="AY32" s="44">
        <f t="shared" si="13"/>
        <v>2805.43</v>
      </c>
      <c r="AZ32" s="43">
        <f t="shared" si="42"/>
        <v>21</v>
      </c>
      <c r="BA32" s="47">
        <f t="shared" si="43"/>
        <v>0.4024</v>
      </c>
      <c r="BB32" s="44">
        <f t="shared" si="14"/>
        <v>16962538.5</v>
      </c>
      <c r="BC32" s="44">
        <f t="shared" si="15"/>
        <v>6971.86</v>
      </c>
      <c r="BD32" s="43">
        <f t="shared" si="44"/>
        <v>9</v>
      </c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</row>
    <row r="33" spans="1:153" s="6" customFormat="1" ht="12.75">
      <c r="A33" s="418">
        <v>26</v>
      </c>
      <c r="B33" s="326" t="s">
        <v>27</v>
      </c>
      <c r="C33" s="29">
        <f>'Table 8 Membership'!U33</f>
        <v>49931</v>
      </c>
      <c r="D33" s="326">
        <v>36344</v>
      </c>
      <c r="E33" s="313">
        <f t="shared" si="16"/>
        <v>20239128</v>
      </c>
      <c r="F33" s="29">
        <f t="shared" si="0"/>
        <v>6178</v>
      </c>
      <c r="G33" s="326">
        <f>'[3]Sheet1'!C28</f>
        <v>9060</v>
      </c>
      <c r="H33" s="313">
        <f t="shared" si="17"/>
        <v>1484028</v>
      </c>
      <c r="I33" s="29">
        <f t="shared" si="1"/>
        <v>453</v>
      </c>
      <c r="J33" s="326">
        <f>'[1]Sheet1'!C31</f>
        <v>7760</v>
      </c>
      <c r="K33" s="313">
        <f t="shared" si="18"/>
        <v>38132640</v>
      </c>
      <c r="L33" s="29">
        <f t="shared" si="2"/>
        <v>11640</v>
      </c>
      <c r="M33" s="326">
        <f>'[1]Sheet1'!D31</f>
        <v>2802</v>
      </c>
      <c r="N33" s="30">
        <f t="shared" si="19"/>
        <v>5506956</v>
      </c>
      <c r="O33" s="29">
        <f t="shared" si="3"/>
        <v>1681</v>
      </c>
      <c r="P33" s="29">
        <f t="shared" si="4"/>
        <v>0</v>
      </c>
      <c r="Q33" s="244">
        <f t="shared" si="5"/>
        <v>0</v>
      </c>
      <c r="R33" s="30">
        <f t="shared" si="20"/>
        <v>0</v>
      </c>
      <c r="S33" s="29">
        <f t="shared" si="21"/>
        <v>0</v>
      </c>
      <c r="T33" s="29">
        <f t="shared" si="22"/>
        <v>19952</v>
      </c>
      <c r="U33" s="104">
        <f t="shared" si="23"/>
        <v>69883</v>
      </c>
      <c r="V33" s="30">
        <f t="shared" si="24"/>
        <v>3276</v>
      </c>
      <c r="W33" s="30">
        <f t="shared" si="25"/>
        <v>228936708</v>
      </c>
      <c r="X33" s="33">
        <f>'Table 6 Local Wealth Factor'!L33</f>
        <v>1.59988068</v>
      </c>
      <c r="Y33" s="33">
        <f t="shared" si="26"/>
        <v>0.07228847</v>
      </c>
      <c r="Z33" s="33">
        <f t="shared" si="27"/>
        <v>0.11565293</v>
      </c>
      <c r="AA33" s="30">
        <f t="shared" si="6"/>
        <v>128194997</v>
      </c>
      <c r="AB33" s="34">
        <f t="shared" si="28"/>
        <v>0.56</v>
      </c>
      <c r="AC33" s="340">
        <f t="shared" si="29"/>
        <v>100741711</v>
      </c>
      <c r="AD33" s="34">
        <f t="shared" si="30"/>
        <v>0.44</v>
      </c>
      <c r="AE33" s="645">
        <f>'Table 7 Local Revenue'!AL32</f>
        <v>171655680.5</v>
      </c>
      <c r="AF33" s="30">
        <f t="shared" si="31"/>
        <v>43460683.5</v>
      </c>
      <c r="AG33" s="37">
        <f t="shared" si="32"/>
        <v>0</v>
      </c>
      <c r="AH33" s="30">
        <f t="shared" si="7"/>
        <v>75549114</v>
      </c>
      <c r="AI33" s="35">
        <f t="shared" si="33"/>
        <v>43460683.5</v>
      </c>
      <c r="AJ33" s="340">
        <f t="shared" si="8"/>
        <v>1741539</v>
      </c>
      <c r="AK33" s="34">
        <f t="shared" si="34"/>
        <v>0.0401</v>
      </c>
      <c r="AL33" s="30">
        <f t="shared" si="9"/>
        <v>1285834</v>
      </c>
      <c r="AM33" s="30">
        <f t="shared" si="35"/>
        <v>45202222.5</v>
      </c>
      <c r="AN33" s="30">
        <f t="shared" si="36"/>
        <v>102483250</v>
      </c>
      <c r="AO33" s="30">
        <f t="shared" si="10"/>
        <v>2052.5</v>
      </c>
      <c r="AP33" s="30">
        <f>'Table 4 Level 3'!Y31</f>
        <v>31951062</v>
      </c>
      <c r="AQ33" s="30">
        <f t="shared" si="37"/>
        <v>639.9</v>
      </c>
      <c r="AR33" s="340">
        <f t="shared" si="38"/>
        <v>134434312</v>
      </c>
      <c r="AS33" s="37">
        <f>AR33-'Table 2 Distribution &amp; Adjusts'!L30</f>
        <v>5561632</v>
      </c>
      <c r="AT33" s="340">
        <f t="shared" si="11"/>
        <v>2692.4</v>
      </c>
      <c r="AU33" s="29">
        <f t="shared" si="39"/>
        <v>60</v>
      </c>
      <c r="AV33" s="34">
        <f t="shared" si="12"/>
        <v>0.4392</v>
      </c>
      <c r="AW33" s="29">
        <f t="shared" si="40"/>
        <v>60</v>
      </c>
      <c r="AX33" s="30">
        <f t="shared" si="41"/>
        <v>171655680.5</v>
      </c>
      <c r="AY33" s="30">
        <f t="shared" si="13"/>
        <v>3437.86</v>
      </c>
      <c r="AZ33" s="29">
        <f t="shared" si="42"/>
        <v>10</v>
      </c>
      <c r="BA33" s="34">
        <f t="shared" si="43"/>
        <v>0.5608</v>
      </c>
      <c r="BB33" s="30">
        <f t="shared" si="14"/>
        <v>306089992.5</v>
      </c>
      <c r="BC33" s="30">
        <f t="shared" si="15"/>
        <v>6130.26</v>
      </c>
      <c r="BD33" s="29">
        <f t="shared" si="44"/>
        <v>27</v>
      </c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</row>
    <row r="34" spans="1:153" s="6" customFormat="1" ht="12.75">
      <c r="A34" s="418">
        <v>27</v>
      </c>
      <c r="B34" s="326" t="s">
        <v>28</v>
      </c>
      <c r="C34" s="29">
        <f>'Table 8 Membership'!U34</f>
        <v>5693</v>
      </c>
      <c r="D34" s="326">
        <v>3183</v>
      </c>
      <c r="E34" s="313">
        <f t="shared" si="16"/>
        <v>1772316</v>
      </c>
      <c r="F34" s="29">
        <f t="shared" si="0"/>
        <v>541</v>
      </c>
      <c r="G34" s="326">
        <f>'[3]Sheet1'!C29</f>
        <v>1903</v>
      </c>
      <c r="H34" s="313">
        <f t="shared" si="17"/>
        <v>311220</v>
      </c>
      <c r="I34" s="29">
        <f t="shared" si="1"/>
        <v>95</v>
      </c>
      <c r="J34" s="326">
        <f>'[1]Sheet1'!C32</f>
        <v>984</v>
      </c>
      <c r="K34" s="313">
        <f t="shared" si="18"/>
        <v>4835376</v>
      </c>
      <c r="L34" s="29">
        <f t="shared" si="2"/>
        <v>1476</v>
      </c>
      <c r="M34" s="326">
        <f>'[1]Sheet1'!D32</f>
        <v>104</v>
      </c>
      <c r="N34" s="30">
        <f t="shared" si="19"/>
        <v>203112</v>
      </c>
      <c r="O34" s="29">
        <f t="shared" si="3"/>
        <v>62</v>
      </c>
      <c r="P34" s="29">
        <f t="shared" si="4"/>
        <v>1807</v>
      </c>
      <c r="Q34" s="244">
        <f t="shared" si="5"/>
        <v>0.04819</v>
      </c>
      <c r="R34" s="30">
        <f t="shared" si="20"/>
        <v>897624</v>
      </c>
      <c r="S34" s="29">
        <f t="shared" si="21"/>
        <v>274</v>
      </c>
      <c r="T34" s="29">
        <f t="shared" si="22"/>
        <v>2448</v>
      </c>
      <c r="U34" s="29">
        <f t="shared" si="23"/>
        <v>8141</v>
      </c>
      <c r="V34" s="30">
        <f t="shared" si="24"/>
        <v>3276</v>
      </c>
      <c r="W34" s="30">
        <f t="shared" si="25"/>
        <v>26669916</v>
      </c>
      <c r="X34" s="33">
        <f>'Table 6 Local Wealth Factor'!L34</f>
        <v>0.65469676</v>
      </c>
      <c r="Y34" s="33">
        <f t="shared" si="26"/>
        <v>0.00842122</v>
      </c>
      <c r="Z34" s="33">
        <f t="shared" si="27"/>
        <v>0.00551335</v>
      </c>
      <c r="AA34" s="30">
        <f t="shared" si="6"/>
        <v>6111249</v>
      </c>
      <c r="AB34" s="34">
        <f t="shared" si="28"/>
        <v>0.2291</v>
      </c>
      <c r="AC34" s="340">
        <f t="shared" si="29"/>
        <v>20558667</v>
      </c>
      <c r="AD34" s="34">
        <f t="shared" si="30"/>
        <v>0.7709</v>
      </c>
      <c r="AE34" s="645">
        <f>'Table 7 Local Revenue'!AL33</f>
        <v>11898912.5</v>
      </c>
      <c r="AF34" s="30">
        <f t="shared" si="31"/>
        <v>5787663.5</v>
      </c>
      <c r="AG34" s="37">
        <f t="shared" si="32"/>
        <v>0</v>
      </c>
      <c r="AH34" s="30">
        <f t="shared" si="7"/>
        <v>8801072</v>
      </c>
      <c r="AI34" s="35">
        <f t="shared" si="33"/>
        <v>5787663.5</v>
      </c>
      <c r="AJ34" s="340">
        <f t="shared" si="8"/>
        <v>3514165</v>
      </c>
      <c r="AK34" s="34">
        <f t="shared" si="34"/>
        <v>0.6072</v>
      </c>
      <c r="AL34" s="30">
        <f t="shared" si="9"/>
        <v>1829687</v>
      </c>
      <c r="AM34" s="30">
        <f t="shared" si="35"/>
        <v>9301828.5</v>
      </c>
      <c r="AN34" s="30">
        <f t="shared" si="36"/>
        <v>24072832</v>
      </c>
      <c r="AO34" s="30">
        <f t="shared" si="10"/>
        <v>4228.5</v>
      </c>
      <c r="AP34" s="30">
        <f>'Table 4 Level 3'!Y32</f>
        <v>487179</v>
      </c>
      <c r="AQ34" s="30">
        <f t="shared" si="37"/>
        <v>85.58</v>
      </c>
      <c r="AR34" s="340">
        <f t="shared" si="38"/>
        <v>24560011</v>
      </c>
      <c r="AS34" s="37">
        <f>AR34-'Table 2 Distribution &amp; Adjusts'!L31</f>
        <v>1549547</v>
      </c>
      <c r="AT34" s="340">
        <f t="shared" si="11"/>
        <v>4314.07</v>
      </c>
      <c r="AU34" s="29">
        <f t="shared" si="39"/>
        <v>16</v>
      </c>
      <c r="AV34" s="34">
        <f t="shared" si="12"/>
        <v>0.6736</v>
      </c>
      <c r="AW34" s="29">
        <f t="shared" si="40"/>
        <v>32</v>
      </c>
      <c r="AX34" s="30">
        <f t="shared" si="41"/>
        <v>11898912.5</v>
      </c>
      <c r="AY34" s="30">
        <f t="shared" si="13"/>
        <v>2090.1</v>
      </c>
      <c r="AZ34" s="29">
        <f t="shared" si="42"/>
        <v>31</v>
      </c>
      <c r="BA34" s="34">
        <f t="shared" si="43"/>
        <v>0.3264</v>
      </c>
      <c r="BB34" s="30">
        <f t="shared" si="14"/>
        <v>36458923.5</v>
      </c>
      <c r="BC34" s="30">
        <f t="shared" si="15"/>
        <v>6404.17</v>
      </c>
      <c r="BD34" s="29">
        <f t="shared" si="44"/>
        <v>21</v>
      </c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</row>
    <row r="35" spans="1:153" s="6" customFormat="1" ht="12.75">
      <c r="A35" s="418">
        <v>28</v>
      </c>
      <c r="B35" s="326" t="s">
        <v>29</v>
      </c>
      <c r="C35" s="29">
        <f>'Table 8 Membership'!U35</f>
        <v>28933</v>
      </c>
      <c r="D35" s="326">
        <v>14214</v>
      </c>
      <c r="E35" s="313">
        <f t="shared" si="16"/>
        <v>7914816</v>
      </c>
      <c r="F35" s="29">
        <f t="shared" si="0"/>
        <v>2416</v>
      </c>
      <c r="G35" s="326">
        <f>'[3]Sheet1'!C30</f>
        <v>5458</v>
      </c>
      <c r="H35" s="313">
        <f t="shared" si="17"/>
        <v>894348</v>
      </c>
      <c r="I35" s="29">
        <f t="shared" si="1"/>
        <v>273</v>
      </c>
      <c r="J35" s="326">
        <f>'[1]Sheet1'!C33</f>
        <v>3479</v>
      </c>
      <c r="K35" s="313">
        <f t="shared" si="18"/>
        <v>17097444</v>
      </c>
      <c r="L35" s="29">
        <f t="shared" si="2"/>
        <v>5219</v>
      </c>
      <c r="M35" s="326">
        <f>'[1]Sheet1'!D33</f>
        <v>1374</v>
      </c>
      <c r="N35" s="30">
        <f t="shared" si="19"/>
        <v>2699424</v>
      </c>
      <c r="O35" s="29">
        <f t="shared" si="3"/>
        <v>824</v>
      </c>
      <c r="P35" s="29">
        <f t="shared" si="4"/>
        <v>0</v>
      </c>
      <c r="Q35" s="244">
        <f t="shared" si="5"/>
        <v>0</v>
      </c>
      <c r="R35" s="30">
        <f t="shared" si="20"/>
        <v>0</v>
      </c>
      <c r="S35" s="29">
        <f t="shared" si="21"/>
        <v>0</v>
      </c>
      <c r="T35" s="29">
        <f t="shared" si="22"/>
        <v>8732</v>
      </c>
      <c r="U35" s="29">
        <f t="shared" si="23"/>
        <v>37665</v>
      </c>
      <c r="V35" s="30">
        <f t="shared" si="24"/>
        <v>3276</v>
      </c>
      <c r="W35" s="30">
        <f t="shared" si="25"/>
        <v>123390540</v>
      </c>
      <c r="X35" s="33">
        <f>'Table 6 Local Wealth Factor'!L35</f>
        <v>1.31604366</v>
      </c>
      <c r="Y35" s="33">
        <f t="shared" si="26"/>
        <v>0.03896148</v>
      </c>
      <c r="Z35" s="33">
        <f t="shared" si="27"/>
        <v>0.05127501</v>
      </c>
      <c r="AA35" s="30">
        <f t="shared" si="6"/>
        <v>56835566</v>
      </c>
      <c r="AB35" s="34">
        <f t="shared" si="28"/>
        <v>0.4606</v>
      </c>
      <c r="AC35" s="340">
        <f t="shared" si="29"/>
        <v>66554974</v>
      </c>
      <c r="AD35" s="34">
        <f t="shared" si="30"/>
        <v>0.5394</v>
      </c>
      <c r="AE35" s="645">
        <f>'Table 7 Local Revenue'!AL34</f>
        <v>86495735</v>
      </c>
      <c r="AF35" s="30">
        <f t="shared" si="31"/>
        <v>29660169</v>
      </c>
      <c r="AG35" s="37">
        <f t="shared" si="32"/>
        <v>0</v>
      </c>
      <c r="AH35" s="30">
        <f t="shared" si="7"/>
        <v>40718878</v>
      </c>
      <c r="AI35" s="35">
        <f t="shared" si="33"/>
        <v>29660169</v>
      </c>
      <c r="AJ35" s="340">
        <f t="shared" si="8"/>
        <v>6239723</v>
      </c>
      <c r="AK35" s="34">
        <f t="shared" si="34"/>
        <v>0.2104</v>
      </c>
      <c r="AL35" s="30">
        <f t="shared" si="9"/>
        <v>2326462</v>
      </c>
      <c r="AM35" s="30">
        <f t="shared" si="35"/>
        <v>35899892</v>
      </c>
      <c r="AN35" s="30">
        <f t="shared" si="36"/>
        <v>72794697</v>
      </c>
      <c r="AO35" s="30">
        <f t="shared" si="10"/>
        <v>2515.97</v>
      </c>
      <c r="AP35" s="30">
        <f>'Table 4 Level 3'!Y33</f>
        <v>4604002</v>
      </c>
      <c r="AQ35" s="30">
        <f t="shared" si="37"/>
        <v>159.13</v>
      </c>
      <c r="AR35" s="340">
        <f t="shared" si="38"/>
        <v>77398699</v>
      </c>
      <c r="AS35" s="37">
        <f>AR35-'Table 2 Distribution &amp; Adjusts'!L32</f>
        <v>4078222</v>
      </c>
      <c r="AT35" s="340">
        <f t="shared" si="11"/>
        <v>2675.1</v>
      </c>
      <c r="AU35" s="29">
        <f t="shared" si="39"/>
        <v>61</v>
      </c>
      <c r="AV35" s="34">
        <f t="shared" si="12"/>
        <v>0.4722</v>
      </c>
      <c r="AW35" s="29">
        <f t="shared" si="40"/>
        <v>56</v>
      </c>
      <c r="AX35" s="30">
        <f t="shared" si="41"/>
        <v>86495735</v>
      </c>
      <c r="AY35" s="30">
        <f t="shared" si="13"/>
        <v>2989.52</v>
      </c>
      <c r="AZ35" s="29">
        <f t="shared" si="42"/>
        <v>18</v>
      </c>
      <c r="BA35" s="34">
        <f t="shared" si="43"/>
        <v>0.5278</v>
      </c>
      <c r="BB35" s="30">
        <f t="shared" si="14"/>
        <v>163894434</v>
      </c>
      <c r="BC35" s="30">
        <f t="shared" si="15"/>
        <v>5664.62</v>
      </c>
      <c r="BD35" s="29">
        <f t="shared" si="44"/>
        <v>47</v>
      </c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</row>
    <row r="36" spans="1:153" s="6" customFormat="1" ht="12.75">
      <c r="A36" s="418">
        <v>29</v>
      </c>
      <c r="B36" s="326" t="s">
        <v>30</v>
      </c>
      <c r="C36" s="29">
        <f>'Table 8 Membership'!U36</f>
        <v>15036</v>
      </c>
      <c r="D36" s="326">
        <v>8054</v>
      </c>
      <c r="E36" s="313">
        <f t="shared" si="16"/>
        <v>4484844</v>
      </c>
      <c r="F36" s="29">
        <f t="shared" si="0"/>
        <v>1369</v>
      </c>
      <c r="G36" s="326">
        <f>'[3]Sheet1'!C31</f>
        <v>5033</v>
      </c>
      <c r="H36" s="313">
        <f t="shared" si="17"/>
        <v>825552</v>
      </c>
      <c r="I36" s="29">
        <f t="shared" si="1"/>
        <v>252</v>
      </c>
      <c r="J36" s="326">
        <f>'[1]Sheet1'!C34</f>
        <v>2095</v>
      </c>
      <c r="K36" s="313">
        <f t="shared" si="18"/>
        <v>10296468</v>
      </c>
      <c r="L36" s="29">
        <f t="shared" si="2"/>
        <v>3143</v>
      </c>
      <c r="M36" s="326">
        <f>'[1]Sheet1'!D34</f>
        <v>240</v>
      </c>
      <c r="N36" s="30">
        <f t="shared" si="19"/>
        <v>471744</v>
      </c>
      <c r="O36" s="29">
        <f t="shared" si="3"/>
        <v>144</v>
      </c>
      <c r="P36" s="29">
        <f t="shared" si="4"/>
        <v>0</v>
      </c>
      <c r="Q36" s="244">
        <f t="shared" si="5"/>
        <v>0</v>
      </c>
      <c r="R36" s="30">
        <f t="shared" si="20"/>
        <v>0</v>
      </c>
      <c r="S36" s="29">
        <f t="shared" si="21"/>
        <v>0</v>
      </c>
      <c r="T36" s="29">
        <f t="shared" si="22"/>
        <v>4908</v>
      </c>
      <c r="U36" s="29">
        <f t="shared" si="23"/>
        <v>19944</v>
      </c>
      <c r="V36" s="30">
        <f t="shared" si="24"/>
        <v>3276</v>
      </c>
      <c r="W36" s="30">
        <f t="shared" si="25"/>
        <v>65336544</v>
      </c>
      <c r="X36" s="33">
        <f>'Table 6 Local Wealth Factor'!L36</f>
        <v>0.84009319</v>
      </c>
      <c r="Y36" s="33">
        <f t="shared" si="26"/>
        <v>0.0206305</v>
      </c>
      <c r="Z36" s="33">
        <f t="shared" si="27"/>
        <v>0.01733154</v>
      </c>
      <c r="AA36" s="30">
        <f t="shared" si="6"/>
        <v>19211072</v>
      </c>
      <c r="AB36" s="34">
        <f t="shared" si="28"/>
        <v>0.294</v>
      </c>
      <c r="AC36" s="340">
        <f t="shared" si="29"/>
        <v>46125472</v>
      </c>
      <c r="AD36" s="34">
        <f t="shared" si="30"/>
        <v>0.706</v>
      </c>
      <c r="AE36" s="645">
        <f>'Table 7 Local Revenue'!AL35</f>
        <v>34307950</v>
      </c>
      <c r="AF36" s="30">
        <f t="shared" si="31"/>
        <v>15096878</v>
      </c>
      <c r="AG36" s="37">
        <f t="shared" si="32"/>
        <v>0</v>
      </c>
      <c r="AH36" s="30">
        <f t="shared" si="7"/>
        <v>21561060</v>
      </c>
      <c r="AI36" s="35">
        <f t="shared" si="33"/>
        <v>15096878</v>
      </c>
      <c r="AJ36" s="340">
        <f t="shared" si="8"/>
        <v>7487207</v>
      </c>
      <c r="AK36" s="34">
        <f t="shared" si="34"/>
        <v>0.4959</v>
      </c>
      <c r="AL36" s="30">
        <f t="shared" si="9"/>
        <v>3205873</v>
      </c>
      <c r="AM36" s="30">
        <f t="shared" si="35"/>
        <v>22584085</v>
      </c>
      <c r="AN36" s="30">
        <f t="shared" si="36"/>
        <v>53612679</v>
      </c>
      <c r="AO36" s="30">
        <f t="shared" si="10"/>
        <v>3565.62</v>
      </c>
      <c r="AP36" s="30">
        <f>'Table 4 Level 3'!Y34</f>
        <v>1895172</v>
      </c>
      <c r="AQ36" s="30">
        <f t="shared" si="37"/>
        <v>126.04</v>
      </c>
      <c r="AR36" s="340">
        <f t="shared" si="38"/>
        <v>55507851</v>
      </c>
      <c r="AS36" s="37">
        <f>AR36-'Table 2 Distribution &amp; Adjusts'!L33</f>
        <v>1090086</v>
      </c>
      <c r="AT36" s="340">
        <f t="shared" si="11"/>
        <v>3691.66</v>
      </c>
      <c r="AU36" s="29">
        <f t="shared" si="39"/>
        <v>43</v>
      </c>
      <c r="AV36" s="34">
        <f t="shared" si="12"/>
        <v>0.618</v>
      </c>
      <c r="AW36" s="29">
        <f t="shared" si="40"/>
        <v>39</v>
      </c>
      <c r="AX36" s="30">
        <f t="shared" si="41"/>
        <v>34307950</v>
      </c>
      <c r="AY36" s="30">
        <f t="shared" si="13"/>
        <v>2281.72</v>
      </c>
      <c r="AZ36" s="29">
        <f t="shared" si="42"/>
        <v>26</v>
      </c>
      <c r="BA36" s="34">
        <f t="shared" si="43"/>
        <v>0.382</v>
      </c>
      <c r="BB36" s="30">
        <f t="shared" si="14"/>
        <v>89815801</v>
      </c>
      <c r="BC36" s="30">
        <f t="shared" si="15"/>
        <v>5973.38</v>
      </c>
      <c r="BD36" s="29">
        <f t="shared" si="44"/>
        <v>36</v>
      </c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</row>
    <row r="37" spans="1:153" s="49" customFormat="1" ht="12.75">
      <c r="A37" s="419">
        <v>30</v>
      </c>
      <c r="B37" s="329" t="s">
        <v>31</v>
      </c>
      <c r="C37" s="43">
        <f>'Table 8 Membership'!U37</f>
        <v>2549</v>
      </c>
      <c r="D37" s="326">
        <v>1381</v>
      </c>
      <c r="E37" s="313">
        <f t="shared" si="16"/>
        <v>769860</v>
      </c>
      <c r="F37" s="43">
        <f t="shared" si="0"/>
        <v>235</v>
      </c>
      <c r="G37" s="326">
        <f>'[3]Sheet1'!C32</f>
        <v>1088</v>
      </c>
      <c r="H37" s="313">
        <f t="shared" si="17"/>
        <v>176904</v>
      </c>
      <c r="I37" s="43">
        <f t="shared" si="1"/>
        <v>54</v>
      </c>
      <c r="J37" s="326">
        <f>'[1]Sheet1'!C35</f>
        <v>236</v>
      </c>
      <c r="K37" s="313">
        <f t="shared" si="18"/>
        <v>1159704</v>
      </c>
      <c r="L37" s="43">
        <f t="shared" si="2"/>
        <v>354</v>
      </c>
      <c r="M37" s="326">
        <f>'[1]Sheet1'!D35</f>
        <v>47</v>
      </c>
      <c r="N37" s="30">
        <f t="shared" si="19"/>
        <v>91728</v>
      </c>
      <c r="O37" s="43">
        <f t="shared" si="3"/>
        <v>28</v>
      </c>
      <c r="P37" s="43">
        <f t="shared" si="4"/>
        <v>4951</v>
      </c>
      <c r="Q37" s="245">
        <f t="shared" si="5"/>
        <v>0.13203</v>
      </c>
      <c r="R37" s="44">
        <f t="shared" si="20"/>
        <v>1104012</v>
      </c>
      <c r="S37" s="43">
        <f t="shared" si="21"/>
        <v>337</v>
      </c>
      <c r="T37" s="43">
        <f t="shared" si="22"/>
        <v>1008</v>
      </c>
      <c r="U37" s="29">
        <f t="shared" si="23"/>
        <v>3557</v>
      </c>
      <c r="V37" s="44">
        <f t="shared" si="24"/>
        <v>3276</v>
      </c>
      <c r="W37" s="44">
        <f t="shared" si="25"/>
        <v>11652732</v>
      </c>
      <c r="X37" s="46">
        <f>'Table 6 Local Wealth Factor'!L37</f>
        <v>0.59667647</v>
      </c>
      <c r="Y37" s="46">
        <f t="shared" si="26"/>
        <v>0.00367944</v>
      </c>
      <c r="Z37" s="46">
        <f t="shared" si="27"/>
        <v>0.00219544</v>
      </c>
      <c r="AA37" s="44">
        <f t="shared" si="6"/>
        <v>2433526</v>
      </c>
      <c r="AB37" s="47">
        <f t="shared" si="28"/>
        <v>0.2088</v>
      </c>
      <c r="AC37" s="341">
        <f t="shared" si="29"/>
        <v>9219206</v>
      </c>
      <c r="AD37" s="47">
        <f t="shared" si="30"/>
        <v>0.7912</v>
      </c>
      <c r="AE37" s="646">
        <f>'Table 7 Local Revenue'!AL36</f>
        <v>4705183</v>
      </c>
      <c r="AF37" s="44">
        <f t="shared" si="31"/>
        <v>2271657</v>
      </c>
      <c r="AG37" s="55">
        <f t="shared" si="32"/>
        <v>0</v>
      </c>
      <c r="AH37" s="44">
        <f t="shared" si="7"/>
        <v>3845402</v>
      </c>
      <c r="AI37" s="48">
        <f t="shared" si="33"/>
        <v>2271657</v>
      </c>
      <c r="AJ37" s="341">
        <f t="shared" si="8"/>
        <v>1458390</v>
      </c>
      <c r="AK37" s="47">
        <f t="shared" si="34"/>
        <v>0.642</v>
      </c>
      <c r="AL37" s="44">
        <f t="shared" si="9"/>
        <v>1010335</v>
      </c>
      <c r="AM37" s="44">
        <f t="shared" si="35"/>
        <v>3730047</v>
      </c>
      <c r="AN37" s="44">
        <f t="shared" si="36"/>
        <v>10677596</v>
      </c>
      <c r="AO37" s="44">
        <f t="shared" si="10"/>
        <v>4188.94</v>
      </c>
      <c r="AP37" s="44">
        <f>'Table 4 Level 3'!Y35</f>
        <v>237057</v>
      </c>
      <c r="AQ37" s="44">
        <f t="shared" si="37"/>
        <v>93</v>
      </c>
      <c r="AR37" s="341">
        <f t="shared" si="38"/>
        <v>10914653</v>
      </c>
      <c r="AS37" s="55">
        <f>AR37-'Table 2 Distribution &amp; Adjusts'!L34</f>
        <v>680456</v>
      </c>
      <c r="AT37" s="341">
        <f t="shared" si="11"/>
        <v>4281.94</v>
      </c>
      <c r="AU37" s="43">
        <f t="shared" si="39"/>
        <v>18</v>
      </c>
      <c r="AV37" s="47">
        <f t="shared" si="12"/>
        <v>0.6988</v>
      </c>
      <c r="AW37" s="43">
        <f t="shared" si="40"/>
        <v>27</v>
      </c>
      <c r="AX37" s="44">
        <f t="shared" si="41"/>
        <v>4705183</v>
      </c>
      <c r="AY37" s="44">
        <f t="shared" si="13"/>
        <v>1845.89</v>
      </c>
      <c r="AZ37" s="43">
        <f t="shared" si="42"/>
        <v>41</v>
      </c>
      <c r="BA37" s="47">
        <f t="shared" si="43"/>
        <v>0.3012</v>
      </c>
      <c r="BB37" s="44">
        <f t="shared" si="14"/>
        <v>15619836</v>
      </c>
      <c r="BC37" s="44">
        <f t="shared" si="15"/>
        <v>6127.83</v>
      </c>
      <c r="BD37" s="43">
        <f t="shared" si="44"/>
        <v>28</v>
      </c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</row>
    <row r="38" spans="1:153" s="6" customFormat="1" ht="12.75">
      <c r="A38" s="418">
        <v>31</v>
      </c>
      <c r="B38" s="326" t="s">
        <v>32</v>
      </c>
      <c r="C38" s="29">
        <f>'Table 8 Membership'!U38</f>
        <v>6550</v>
      </c>
      <c r="D38" s="326">
        <v>3504</v>
      </c>
      <c r="E38" s="313">
        <f t="shared" si="16"/>
        <v>1952496</v>
      </c>
      <c r="F38" s="29">
        <f t="shared" si="0"/>
        <v>596</v>
      </c>
      <c r="G38" s="326">
        <f>'[3]Sheet1'!C33</f>
        <v>2024</v>
      </c>
      <c r="H38" s="313">
        <f t="shared" si="17"/>
        <v>330876</v>
      </c>
      <c r="I38" s="29">
        <f t="shared" si="1"/>
        <v>101</v>
      </c>
      <c r="J38" s="326">
        <f>'[1]Sheet1'!C36</f>
        <v>829</v>
      </c>
      <c r="K38" s="313">
        <f t="shared" si="18"/>
        <v>4075344</v>
      </c>
      <c r="L38" s="29">
        <f t="shared" si="2"/>
        <v>1244</v>
      </c>
      <c r="M38" s="326">
        <f>'[1]Sheet1'!D36</f>
        <v>153</v>
      </c>
      <c r="N38" s="30">
        <f t="shared" si="19"/>
        <v>301392</v>
      </c>
      <c r="O38" s="29">
        <f t="shared" si="3"/>
        <v>92</v>
      </c>
      <c r="P38" s="29">
        <f t="shared" si="4"/>
        <v>950</v>
      </c>
      <c r="Q38" s="244">
        <f t="shared" si="5"/>
        <v>0.02533</v>
      </c>
      <c r="R38" s="30">
        <f t="shared" si="20"/>
        <v>543816</v>
      </c>
      <c r="S38" s="29">
        <f t="shared" si="21"/>
        <v>166</v>
      </c>
      <c r="T38" s="29">
        <f t="shared" si="22"/>
        <v>2199</v>
      </c>
      <c r="U38" s="104">
        <f t="shared" si="23"/>
        <v>8749</v>
      </c>
      <c r="V38" s="30">
        <f t="shared" si="24"/>
        <v>3276</v>
      </c>
      <c r="W38" s="30">
        <f t="shared" si="25"/>
        <v>28661724</v>
      </c>
      <c r="X38" s="33">
        <f>'Table 6 Local Wealth Factor'!L38</f>
        <v>0.97620762</v>
      </c>
      <c r="Y38" s="33">
        <f t="shared" si="26"/>
        <v>0.00905015</v>
      </c>
      <c r="Z38" s="33">
        <f t="shared" si="27"/>
        <v>0.00883483</v>
      </c>
      <c r="AA38" s="30">
        <f t="shared" si="6"/>
        <v>9792930</v>
      </c>
      <c r="AB38" s="34">
        <f t="shared" si="28"/>
        <v>0.3417</v>
      </c>
      <c r="AC38" s="340">
        <f t="shared" si="29"/>
        <v>18868794</v>
      </c>
      <c r="AD38" s="34">
        <f t="shared" si="30"/>
        <v>0.6583</v>
      </c>
      <c r="AE38" s="645">
        <f>'Table 7 Local Revenue'!AL37</f>
        <v>19285374</v>
      </c>
      <c r="AF38" s="30">
        <f t="shared" si="31"/>
        <v>9492444</v>
      </c>
      <c r="AG38" s="37">
        <f t="shared" si="32"/>
        <v>0</v>
      </c>
      <c r="AH38" s="30">
        <f t="shared" si="7"/>
        <v>9458369</v>
      </c>
      <c r="AI38" s="35">
        <f t="shared" si="33"/>
        <v>9458369</v>
      </c>
      <c r="AJ38" s="340">
        <f t="shared" si="8"/>
        <v>3918370</v>
      </c>
      <c r="AK38" s="34">
        <f t="shared" si="34"/>
        <v>0.4143</v>
      </c>
      <c r="AL38" s="30">
        <f t="shared" si="9"/>
        <v>0</v>
      </c>
      <c r="AM38" s="30">
        <f t="shared" si="35"/>
        <v>13376739</v>
      </c>
      <c r="AN38" s="30">
        <f t="shared" si="36"/>
        <v>22787164</v>
      </c>
      <c r="AO38" s="30">
        <f t="shared" si="10"/>
        <v>3478.96</v>
      </c>
      <c r="AP38" s="30">
        <f>'Table 4 Level 3'!Y36</f>
        <v>60204</v>
      </c>
      <c r="AQ38" s="30">
        <f t="shared" si="37"/>
        <v>9.19</v>
      </c>
      <c r="AR38" s="340">
        <f t="shared" si="38"/>
        <v>22847368</v>
      </c>
      <c r="AS38" s="37">
        <f>AR38-'Table 2 Distribution &amp; Adjusts'!L35</f>
        <v>1578324</v>
      </c>
      <c r="AT38" s="340">
        <f t="shared" si="11"/>
        <v>3488.15</v>
      </c>
      <c r="AU38" s="29">
        <f t="shared" si="39"/>
        <v>49</v>
      </c>
      <c r="AV38" s="34">
        <f t="shared" si="12"/>
        <v>0.5427</v>
      </c>
      <c r="AW38" s="29">
        <f t="shared" si="40"/>
        <v>50</v>
      </c>
      <c r="AX38" s="30">
        <f t="shared" si="41"/>
        <v>19251299</v>
      </c>
      <c r="AY38" s="30">
        <f t="shared" si="13"/>
        <v>2939.13</v>
      </c>
      <c r="AZ38" s="29">
        <f t="shared" si="42"/>
        <v>19</v>
      </c>
      <c r="BA38" s="34">
        <f t="shared" si="43"/>
        <v>0.4573</v>
      </c>
      <c r="BB38" s="30">
        <f t="shared" si="14"/>
        <v>42098667</v>
      </c>
      <c r="BC38" s="30">
        <f t="shared" si="15"/>
        <v>6427.28</v>
      </c>
      <c r="BD38" s="29">
        <f t="shared" si="44"/>
        <v>19</v>
      </c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</row>
    <row r="39" spans="1:153" s="6" customFormat="1" ht="12.75">
      <c r="A39" s="418">
        <v>32</v>
      </c>
      <c r="B39" s="326" t="s">
        <v>33</v>
      </c>
      <c r="C39" s="29">
        <f>'Table 8 Membership'!U39</f>
        <v>20415</v>
      </c>
      <c r="D39" s="326">
        <v>8367</v>
      </c>
      <c r="E39" s="313">
        <f t="shared" si="16"/>
        <v>4658472</v>
      </c>
      <c r="F39" s="29">
        <f t="shared" si="0"/>
        <v>1422</v>
      </c>
      <c r="G39" s="326">
        <f>'[3]Sheet1'!C34</f>
        <v>4288</v>
      </c>
      <c r="H39" s="313">
        <f t="shared" si="17"/>
        <v>701064</v>
      </c>
      <c r="I39" s="29">
        <f t="shared" si="1"/>
        <v>214</v>
      </c>
      <c r="J39" s="326">
        <f>'[1]Sheet1'!C37</f>
        <v>2276</v>
      </c>
      <c r="K39" s="313">
        <f t="shared" si="18"/>
        <v>11184264</v>
      </c>
      <c r="L39" s="29">
        <f t="shared" si="2"/>
        <v>3414</v>
      </c>
      <c r="M39" s="326">
        <f>'[1]Sheet1'!D37</f>
        <v>339</v>
      </c>
      <c r="N39" s="30">
        <f t="shared" si="19"/>
        <v>665028</v>
      </c>
      <c r="O39" s="29">
        <f t="shared" si="3"/>
        <v>203</v>
      </c>
      <c r="P39" s="29">
        <f t="shared" si="4"/>
        <v>0</v>
      </c>
      <c r="Q39" s="244">
        <f t="shared" si="5"/>
        <v>0</v>
      </c>
      <c r="R39" s="30">
        <f t="shared" si="20"/>
        <v>0</v>
      </c>
      <c r="S39" s="29">
        <f t="shared" si="21"/>
        <v>0</v>
      </c>
      <c r="T39" s="29">
        <f t="shared" si="22"/>
        <v>5253</v>
      </c>
      <c r="U39" s="29">
        <f t="shared" si="23"/>
        <v>25668</v>
      </c>
      <c r="V39" s="30">
        <f t="shared" si="24"/>
        <v>3276</v>
      </c>
      <c r="W39" s="30">
        <f t="shared" si="25"/>
        <v>84088368</v>
      </c>
      <c r="X39" s="33">
        <f>'Table 6 Local Wealth Factor'!L39</f>
        <v>0.4180279</v>
      </c>
      <c r="Y39" s="33">
        <f t="shared" si="26"/>
        <v>0.02655153</v>
      </c>
      <c r="Z39" s="33">
        <f t="shared" si="27"/>
        <v>0.01109928</v>
      </c>
      <c r="AA39" s="30">
        <f t="shared" si="6"/>
        <v>12302950</v>
      </c>
      <c r="AB39" s="34">
        <f t="shared" si="28"/>
        <v>0.1463</v>
      </c>
      <c r="AC39" s="340">
        <f t="shared" si="29"/>
        <v>71785418</v>
      </c>
      <c r="AD39" s="34">
        <f t="shared" si="30"/>
        <v>0.8537</v>
      </c>
      <c r="AE39" s="645">
        <f>'Table 7 Local Revenue'!AL38</f>
        <v>25692227.5</v>
      </c>
      <c r="AF39" s="30">
        <f t="shared" si="31"/>
        <v>13389277.5</v>
      </c>
      <c r="AG39" s="37">
        <f t="shared" si="32"/>
        <v>0</v>
      </c>
      <c r="AH39" s="30">
        <f t="shared" si="7"/>
        <v>27749161</v>
      </c>
      <c r="AI39" s="35">
        <f t="shared" si="33"/>
        <v>13389277.5</v>
      </c>
      <c r="AJ39" s="340">
        <f t="shared" si="8"/>
        <v>10031023</v>
      </c>
      <c r="AK39" s="34">
        <f t="shared" si="34"/>
        <v>0.7492</v>
      </c>
      <c r="AL39" s="30">
        <f t="shared" si="9"/>
        <v>10758184</v>
      </c>
      <c r="AM39" s="30">
        <f t="shared" si="35"/>
        <v>23420300.5</v>
      </c>
      <c r="AN39" s="30">
        <f t="shared" si="36"/>
        <v>81816441</v>
      </c>
      <c r="AO39" s="30">
        <f t="shared" si="10"/>
        <v>4007.66</v>
      </c>
      <c r="AP39" s="30">
        <f>'Table 4 Level 3'!Y37</f>
        <v>90306</v>
      </c>
      <c r="AQ39" s="30">
        <f t="shared" si="37"/>
        <v>4.42</v>
      </c>
      <c r="AR39" s="340">
        <f t="shared" si="38"/>
        <v>81906747</v>
      </c>
      <c r="AS39" s="37">
        <f>AR39-'Table 2 Distribution &amp; Adjusts'!L36</f>
        <v>5345976</v>
      </c>
      <c r="AT39" s="340">
        <f t="shared" si="11"/>
        <v>4012.09</v>
      </c>
      <c r="AU39" s="29">
        <f t="shared" si="39"/>
        <v>29</v>
      </c>
      <c r="AV39" s="34">
        <f t="shared" si="12"/>
        <v>0.7612</v>
      </c>
      <c r="AW39" s="29">
        <f t="shared" si="40"/>
        <v>12</v>
      </c>
      <c r="AX39" s="30">
        <f t="shared" si="41"/>
        <v>25692227.5</v>
      </c>
      <c r="AY39" s="30">
        <f t="shared" si="13"/>
        <v>1258.5</v>
      </c>
      <c r="AZ39" s="29">
        <f t="shared" si="42"/>
        <v>57</v>
      </c>
      <c r="BA39" s="34">
        <f t="shared" si="43"/>
        <v>0.2388</v>
      </c>
      <c r="BB39" s="30">
        <f t="shared" si="14"/>
        <v>107598974.5</v>
      </c>
      <c r="BC39" s="30">
        <f t="shared" si="15"/>
        <v>5270.58</v>
      </c>
      <c r="BD39" s="29">
        <f t="shared" si="44"/>
        <v>59</v>
      </c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</row>
    <row r="40" spans="1:153" s="6" customFormat="1" ht="12.75">
      <c r="A40" s="418">
        <v>33</v>
      </c>
      <c r="B40" s="326" t="s">
        <v>34</v>
      </c>
      <c r="C40" s="29">
        <f>'Table 8 Membership'!U40</f>
        <v>2302</v>
      </c>
      <c r="D40" s="326">
        <v>1893</v>
      </c>
      <c r="E40" s="313">
        <f t="shared" si="16"/>
        <v>1054872</v>
      </c>
      <c r="F40" s="29">
        <f aca="true" t="shared" si="45" ref="F40:F73">ROUND($F$4*D40,0)</f>
        <v>322</v>
      </c>
      <c r="G40" s="326">
        <f>'[3]Sheet1'!C35</f>
        <v>493</v>
      </c>
      <c r="H40" s="313">
        <f t="shared" si="17"/>
        <v>81900</v>
      </c>
      <c r="I40" s="29">
        <f aca="true" t="shared" si="46" ref="I40:I73">ROUND($I$4*G40,0)</f>
        <v>25</v>
      </c>
      <c r="J40" s="326">
        <f>'[1]Sheet1'!C38</f>
        <v>284</v>
      </c>
      <c r="K40" s="313">
        <f t="shared" si="18"/>
        <v>1395576</v>
      </c>
      <c r="L40" s="29">
        <f aca="true" t="shared" si="47" ref="L40:L73">ROUND(J40*$L$4,0)</f>
        <v>426</v>
      </c>
      <c r="M40" s="326">
        <f>'[1]Sheet1'!D38</f>
        <v>14</v>
      </c>
      <c r="N40" s="30">
        <f t="shared" si="19"/>
        <v>26208</v>
      </c>
      <c r="O40" s="29">
        <f aca="true" t="shared" si="48" ref="O40:O73">ROUND($O$4*M40,0)</f>
        <v>8</v>
      </c>
      <c r="P40" s="29">
        <f aca="true" t="shared" si="49" ref="P40:P73">IF(C40&lt;$P$4,$P$4-C40,0)</f>
        <v>5198</v>
      </c>
      <c r="Q40" s="244">
        <f aca="true" t="shared" si="50" ref="Q40:Q71">ROUND(P40/$Q$4,5)</f>
        <v>0.13861</v>
      </c>
      <c r="R40" s="30">
        <f t="shared" si="20"/>
        <v>1045044</v>
      </c>
      <c r="S40" s="29">
        <f t="shared" si="21"/>
        <v>319</v>
      </c>
      <c r="T40" s="29">
        <f t="shared" si="22"/>
        <v>1100</v>
      </c>
      <c r="U40" s="29">
        <f t="shared" si="23"/>
        <v>3402</v>
      </c>
      <c r="V40" s="30">
        <f t="shared" si="24"/>
        <v>3276</v>
      </c>
      <c r="W40" s="30">
        <f t="shared" si="25"/>
        <v>11144952</v>
      </c>
      <c r="X40" s="33">
        <f>'Table 6 Local Wealth Factor'!L40</f>
        <v>0.56266973</v>
      </c>
      <c r="Y40" s="33">
        <f t="shared" si="26"/>
        <v>0.0035191</v>
      </c>
      <c r="Z40" s="33">
        <f t="shared" si="27"/>
        <v>0.00198009</v>
      </c>
      <c r="AA40" s="30">
        <f aca="true" t="shared" si="51" ref="AA40:AA71">IF(W$75*Z40*AA$4&lt;W40,ROUND(W$75*Z40*AA$4,0),W40)</f>
        <v>2194822</v>
      </c>
      <c r="AB40" s="34">
        <f t="shared" si="28"/>
        <v>0.1969</v>
      </c>
      <c r="AC40" s="340">
        <f t="shared" si="29"/>
        <v>8950130</v>
      </c>
      <c r="AD40" s="34">
        <f t="shared" si="30"/>
        <v>0.8031</v>
      </c>
      <c r="AE40" s="645">
        <f>'Table 7 Local Revenue'!AL39</f>
        <v>1952525.5</v>
      </c>
      <c r="AF40" s="30">
        <f t="shared" si="31"/>
        <v>0</v>
      </c>
      <c r="AG40" s="37">
        <f t="shared" si="32"/>
        <v>-242296.5</v>
      </c>
      <c r="AH40" s="30">
        <f aca="true" t="shared" si="52" ref="AH40:AH73">ROUND(W40*AH$4,0)</f>
        <v>3677834</v>
      </c>
      <c r="AI40" s="35">
        <f t="shared" si="33"/>
        <v>0</v>
      </c>
      <c r="AJ40" s="340">
        <f aca="true" t="shared" si="53" ref="AJ40:AJ71">IF((1-((1-AJ$4)*X40))*AI40&gt;0,ROUND((1-((1-AJ$4)*X40))*AI40,0),0)</f>
        <v>0</v>
      </c>
      <c r="AK40" s="34">
        <f t="shared" si="34"/>
        <v>0</v>
      </c>
      <c r="AL40" s="30">
        <f aca="true" t="shared" si="54" ref="AL40:AL73">IF(((1-((1-AL$4)*X40))*AH40)-AJ40&gt;0,ROUND(((1-((1-AL$4)*X40))*AH40)-AJ40,0),0)</f>
        <v>2436190</v>
      </c>
      <c r="AM40" s="30">
        <f t="shared" si="35"/>
        <v>0</v>
      </c>
      <c r="AN40" s="30">
        <f t="shared" si="36"/>
        <v>8950130</v>
      </c>
      <c r="AO40" s="30">
        <f aca="true" t="shared" si="55" ref="AO40:AO71">ROUND(AN40/C40,2)</f>
        <v>3887.98</v>
      </c>
      <c r="AP40" s="30">
        <f>'Table 4 Level 3'!Y38</f>
        <v>384434</v>
      </c>
      <c r="AQ40" s="30">
        <f t="shared" si="37"/>
        <v>167</v>
      </c>
      <c r="AR40" s="340">
        <f t="shared" si="38"/>
        <v>9334564</v>
      </c>
      <c r="AS40" s="37">
        <f>AR40-'Table 2 Distribution &amp; Adjusts'!L37</f>
        <v>-10048</v>
      </c>
      <c r="AT40" s="340">
        <f aca="true" t="shared" si="56" ref="AT40:AT73">ROUND(AR40/C40,2)</f>
        <v>4054.98</v>
      </c>
      <c r="AU40" s="29">
        <f t="shared" si="39"/>
        <v>25</v>
      </c>
      <c r="AV40" s="34">
        <f aca="true" t="shared" si="57" ref="AV40:AV73">ROUND(AR40/BB40,4)</f>
        <v>0.8096</v>
      </c>
      <c r="AW40" s="29">
        <f t="shared" si="40"/>
        <v>4</v>
      </c>
      <c r="AX40" s="30">
        <f t="shared" si="41"/>
        <v>2194822</v>
      </c>
      <c r="AY40" s="30">
        <f aca="true" t="shared" si="58" ref="AY40:AY71">ROUND(AX40/C40,2)</f>
        <v>953.44</v>
      </c>
      <c r="AZ40" s="29">
        <f t="shared" si="42"/>
        <v>62</v>
      </c>
      <c r="BA40" s="34">
        <f t="shared" si="43"/>
        <v>0.1904</v>
      </c>
      <c r="BB40" s="30">
        <f aca="true" t="shared" si="59" ref="BB40:BB73">ROUND(AR40+AX40,2)</f>
        <v>11529386</v>
      </c>
      <c r="BC40" s="30">
        <f aca="true" t="shared" si="60" ref="BC40:BC71">ROUND(BB40/C40,2)</f>
        <v>5008.42</v>
      </c>
      <c r="BD40" s="29">
        <f t="shared" si="44"/>
        <v>62</v>
      </c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</row>
    <row r="41" spans="1:153" s="6" customFormat="1" ht="12.75">
      <c r="A41" s="418">
        <v>34</v>
      </c>
      <c r="B41" s="326" t="s">
        <v>35</v>
      </c>
      <c r="C41" s="29">
        <f>'Table 8 Membership'!U41</f>
        <v>5121</v>
      </c>
      <c r="D41" s="326">
        <v>3589</v>
      </c>
      <c r="E41" s="313">
        <f t="shared" si="16"/>
        <v>1998360</v>
      </c>
      <c r="F41" s="29">
        <f t="shared" si="45"/>
        <v>610</v>
      </c>
      <c r="G41" s="326">
        <f>'[3]Sheet1'!C36</f>
        <v>1206</v>
      </c>
      <c r="H41" s="313">
        <f t="shared" si="17"/>
        <v>196560</v>
      </c>
      <c r="I41" s="29">
        <f t="shared" si="46"/>
        <v>60</v>
      </c>
      <c r="J41" s="326">
        <f>'[1]Sheet1'!C39</f>
        <v>811</v>
      </c>
      <c r="K41" s="313">
        <f t="shared" si="18"/>
        <v>3986892</v>
      </c>
      <c r="L41" s="29">
        <f t="shared" si="47"/>
        <v>1217</v>
      </c>
      <c r="M41" s="326">
        <f>'[1]Sheet1'!D39</f>
        <v>54</v>
      </c>
      <c r="N41" s="30">
        <f t="shared" si="19"/>
        <v>104832</v>
      </c>
      <c r="O41" s="29">
        <f t="shared" si="48"/>
        <v>32</v>
      </c>
      <c r="P41" s="29">
        <f t="shared" si="49"/>
        <v>2379</v>
      </c>
      <c r="Q41" s="244">
        <f t="shared" si="50"/>
        <v>0.06344</v>
      </c>
      <c r="R41" s="30">
        <f t="shared" si="20"/>
        <v>1064700</v>
      </c>
      <c r="S41" s="29">
        <f t="shared" si="21"/>
        <v>325</v>
      </c>
      <c r="T41" s="29">
        <f t="shared" si="22"/>
        <v>2244</v>
      </c>
      <c r="U41" s="29">
        <f t="shared" si="23"/>
        <v>7365</v>
      </c>
      <c r="V41" s="30">
        <f t="shared" si="24"/>
        <v>3276</v>
      </c>
      <c r="W41" s="30">
        <f t="shared" si="25"/>
        <v>24127740</v>
      </c>
      <c r="X41" s="33">
        <f>'Table 6 Local Wealth Factor'!L41</f>
        <v>0.71654357</v>
      </c>
      <c r="Y41" s="33">
        <f t="shared" si="26"/>
        <v>0.00761851</v>
      </c>
      <c r="Z41" s="33">
        <f t="shared" si="27"/>
        <v>0.00545899</v>
      </c>
      <c r="AA41" s="30">
        <f t="shared" si="51"/>
        <v>6050994</v>
      </c>
      <c r="AB41" s="34">
        <f t="shared" si="28"/>
        <v>0.2508</v>
      </c>
      <c r="AC41" s="340">
        <f t="shared" si="29"/>
        <v>18076746</v>
      </c>
      <c r="AD41" s="34">
        <f t="shared" si="30"/>
        <v>0.7492</v>
      </c>
      <c r="AE41" s="645">
        <f>'Table 7 Local Revenue'!AL40</f>
        <v>8130615.5</v>
      </c>
      <c r="AF41" s="30">
        <f t="shared" si="31"/>
        <v>2079621.5</v>
      </c>
      <c r="AG41" s="37">
        <f t="shared" si="32"/>
        <v>0</v>
      </c>
      <c r="AH41" s="30">
        <f t="shared" si="52"/>
        <v>7962154</v>
      </c>
      <c r="AI41" s="35">
        <f t="shared" si="33"/>
        <v>2079621.5</v>
      </c>
      <c r="AJ41" s="340">
        <f t="shared" si="53"/>
        <v>1185538</v>
      </c>
      <c r="AK41" s="34">
        <f t="shared" si="34"/>
        <v>0.5701</v>
      </c>
      <c r="AL41" s="30">
        <f t="shared" si="54"/>
        <v>3353478</v>
      </c>
      <c r="AM41" s="30">
        <f t="shared" si="35"/>
        <v>3265159.5</v>
      </c>
      <c r="AN41" s="30">
        <f t="shared" si="36"/>
        <v>19262284</v>
      </c>
      <c r="AO41" s="30">
        <f t="shared" si="55"/>
        <v>3761.43</v>
      </c>
      <c r="AP41" s="30">
        <f>'Table 4 Level 3'!Y39</f>
        <v>430164</v>
      </c>
      <c r="AQ41" s="30">
        <f t="shared" si="37"/>
        <v>84</v>
      </c>
      <c r="AR41" s="340">
        <f t="shared" si="38"/>
        <v>19692448</v>
      </c>
      <c r="AS41" s="37">
        <f>AR41-'Table 2 Distribution &amp; Adjusts'!L38</f>
        <v>320566</v>
      </c>
      <c r="AT41" s="340">
        <f t="shared" si="56"/>
        <v>3845.43</v>
      </c>
      <c r="AU41" s="29">
        <f t="shared" si="39"/>
        <v>36</v>
      </c>
      <c r="AV41" s="34">
        <f t="shared" si="57"/>
        <v>0.7078</v>
      </c>
      <c r="AW41" s="29">
        <f t="shared" si="40"/>
        <v>25</v>
      </c>
      <c r="AX41" s="30">
        <f t="shared" si="41"/>
        <v>8130615.5</v>
      </c>
      <c r="AY41" s="30">
        <f t="shared" si="58"/>
        <v>1587.7</v>
      </c>
      <c r="AZ41" s="29">
        <f t="shared" si="42"/>
        <v>47</v>
      </c>
      <c r="BA41" s="34">
        <f t="shared" si="43"/>
        <v>0.2922</v>
      </c>
      <c r="BB41" s="30">
        <f t="shared" si="59"/>
        <v>27823063.5</v>
      </c>
      <c r="BC41" s="30">
        <f t="shared" si="60"/>
        <v>5433.13</v>
      </c>
      <c r="BD41" s="29">
        <f t="shared" si="44"/>
        <v>54</v>
      </c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</row>
    <row r="42" spans="1:153" s="49" customFormat="1" ht="12.75">
      <c r="A42" s="419">
        <v>35</v>
      </c>
      <c r="B42" s="329" t="s">
        <v>36</v>
      </c>
      <c r="C42" s="43">
        <f>'Table 8 Membership'!U42</f>
        <v>6616</v>
      </c>
      <c r="D42" s="326">
        <v>4503</v>
      </c>
      <c r="E42" s="313">
        <f t="shared" si="16"/>
        <v>2509416</v>
      </c>
      <c r="F42" s="43">
        <f t="shared" si="45"/>
        <v>766</v>
      </c>
      <c r="G42" s="326">
        <f>'[3]Sheet1'!C37</f>
        <v>1878</v>
      </c>
      <c r="H42" s="313">
        <f t="shared" si="17"/>
        <v>307944</v>
      </c>
      <c r="I42" s="43">
        <f t="shared" si="46"/>
        <v>94</v>
      </c>
      <c r="J42" s="326">
        <f>'[1]Sheet1'!C40</f>
        <v>847</v>
      </c>
      <c r="K42" s="313">
        <f t="shared" si="18"/>
        <v>4163796</v>
      </c>
      <c r="L42" s="43">
        <f t="shared" si="47"/>
        <v>1271</v>
      </c>
      <c r="M42" s="326">
        <f>'[1]Sheet1'!D40</f>
        <v>249</v>
      </c>
      <c r="N42" s="30">
        <f t="shared" si="19"/>
        <v>488124</v>
      </c>
      <c r="O42" s="43">
        <f t="shared" si="48"/>
        <v>149</v>
      </c>
      <c r="P42" s="43">
        <f t="shared" si="49"/>
        <v>884</v>
      </c>
      <c r="Q42" s="245">
        <f t="shared" si="50"/>
        <v>0.02357</v>
      </c>
      <c r="R42" s="44">
        <f t="shared" si="20"/>
        <v>511056</v>
      </c>
      <c r="S42" s="43">
        <f t="shared" si="21"/>
        <v>156</v>
      </c>
      <c r="T42" s="43">
        <f t="shared" si="22"/>
        <v>2436</v>
      </c>
      <c r="U42" s="29">
        <f t="shared" si="23"/>
        <v>9052</v>
      </c>
      <c r="V42" s="44">
        <f t="shared" si="24"/>
        <v>3276</v>
      </c>
      <c r="W42" s="44">
        <f t="shared" si="25"/>
        <v>29654352</v>
      </c>
      <c r="X42" s="46">
        <f>'Table 6 Local Wealth Factor'!L42</f>
        <v>0.7687212</v>
      </c>
      <c r="Y42" s="46">
        <f t="shared" si="26"/>
        <v>0.00936358</v>
      </c>
      <c r="Z42" s="46">
        <f t="shared" si="27"/>
        <v>0.00719798</v>
      </c>
      <c r="AA42" s="44">
        <f t="shared" si="51"/>
        <v>7978570</v>
      </c>
      <c r="AB42" s="47">
        <f t="shared" si="28"/>
        <v>0.2691</v>
      </c>
      <c r="AC42" s="341">
        <f t="shared" si="29"/>
        <v>21675782</v>
      </c>
      <c r="AD42" s="47">
        <f t="shared" si="30"/>
        <v>0.7309</v>
      </c>
      <c r="AE42" s="646">
        <f>'Table 7 Local Revenue'!AL41</f>
        <v>12244361.5</v>
      </c>
      <c r="AF42" s="44">
        <f t="shared" si="31"/>
        <v>4265791.5</v>
      </c>
      <c r="AG42" s="55">
        <f t="shared" si="32"/>
        <v>0</v>
      </c>
      <c r="AH42" s="44">
        <f t="shared" si="52"/>
        <v>9785936</v>
      </c>
      <c r="AI42" s="48">
        <f t="shared" si="33"/>
        <v>4265791.5</v>
      </c>
      <c r="AJ42" s="341">
        <f t="shared" si="53"/>
        <v>2298269</v>
      </c>
      <c r="AK42" s="47">
        <f t="shared" si="34"/>
        <v>0.5388</v>
      </c>
      <c r="AL42" s="44">
        <f t="shared" si="54"/>
        <v>2974073</v>
      </c>
      <c r="AM42" s="44">
        <f t="shared" si="35"/>
        <v>6564060.5</v>
      </c>
      <c r="AN42" s="44">
        <f t="shared" si="36"/>
        <v>23974051</v>
      </c>
      <c r="AO42" s="44">
        <f t="shared" si="55"/>
        <v>3623.65</v>
      </c>
      <c r="AP42" s="44">
        <f>'Table 4 Level 3'!Y40</f>
        <v>416808</v>
      </c>
      <c r="AQ42" s="44">
        <f t="shared" si="37"/>
        <v>63</v>
      </c>
      <c r="AR42" s="341">
        <f t="shared" si="38"/>
        <v>24390859</v>
      </c>
      <c r="AS42" s="55">
        <f>AR42-'Table 2 Distribution &amp; Adjusts'!L39</f>
        <v>282745</v>
      </c>
      <c r="AT42" s="341">
        <f t="shared" si="56"/>
        <v>3686.65</v>
      </c>
      <c r="AU42" s="43">
        <f t="shared" si="39"/>
        <v>44</v>
      </c>
      <c r="AV42" s="47">
        <f t="shared" si="57"/>
        <v>0.6658</v>
      </c>
      <c r="AW42" s="43">
        <f t="shared" si="40"/>
        <v>35</v>
      </c>
      <c r="AX42" s="44">
        <f t="shared" si="41"/>
        <v>12244361.5</v>
      </c>
      <c r="AY42" s="44">
        <f t="shared" si="58"/>
        <v>1850.72</v>
      </c>
      <c r="AZ42" s="43">
        <f t="shared" si="42"/>
        <v>40</v>
      </c>
      <c r="BA42" s="47">
        <f t="shared" si="43"/>
        <v>0.3342</v>
      </c>
      <c r="BB42" s="44">
        <f t="shared" si="59"/>
        <v>36635220.5</v>
      </c>
      <c r="BC42" s="44">
        <f t="shared" si="60"/>
        <v>5537.37</v>
      </c>
      <c r="BD42" s="43">
        <f t="shared" si="44"/>
        <v>51</v>
      </c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</row>
    <row r="43" spans="1:153" s="6" customFormat="1" ht="12.75">
      <c r="A43" s="418">
        <v>36</v>
      </c>
      <c r="B43" s="326" t="s">
        <v>37</v>
      </c>
      <c r="C43" s="29">
        <f>'Table 8 Membership'!U43</f>
        <v>68088</v>
      </c>
      <c r="D43" s="326">
        <v>52902</v>
      </c>
      <c r="E43" s="313">
        <f t="shared" si="16"/>
        <v>29461068</v>
      </c>
      <c r="F43" s="29">
        <f t="shared" si="45"/>
        <v>8993</v>
      </c>
      <c r="G43" s="326">
        <f>'[3]Sheet1'!C38</f>
        <v>9926</v>
      </c>
      <c r="H43" s="313">
        <f t="shared" si="17"/>
        <v>1624896</v>
      </c>
      <c r="I43" s="29">
        <f t="shared" si="46"/>
        <v>496</v>
      </c>
      <c r="J43" s="326">
        <f>'[1]Sheet1'!C41</f>
        <v>7553</v>
      </c>
      <c r="K43" s="313">
        <f t="shared" si="18"/>
        <v>37117080</v>
      </c>
      <c r="L43" s="29">
        <f t="shared" si="47"/>
        <v>11330</v>
      </c>
      <c r="M43" s="326">
        <f>'[1]Sheet1'!D41</f>
        <v>4573</v>
      </c>
      <c r="N43" s="30">
        <f t="shared" si="19"/>
        <v>8989344</v>
      </c>
      <c r="O43" s="29">
        <f t="shared" si="48"/>
        <v>2744</v>
      </c>
      <c r="P43" s="29">
        <f t="shared" si="49"/>
        <v>0</v>
      </c>
      <c r="Q43" s="244">
        <f t="shared" si="50"/>
        <v>0</v>
      </c>
      <c r="R43" s="30">
        <f t="shared" si="20"/>
        <v>0</v>
      </c>
      <c r="S43" s="29">
        <f t="shared" si="21"/>
        <v>0</v>
      </c>
      <c r="T43" s="29">
        <f t="shared" si="22"/>
        <v>23563</v>
      </c>
      <c r="U43" s="104">
        <f t="shared" si="23"/>
        <v>91651</v>
      </c>
      <c r="V43" s="30">
        <f t="shared" si="24"/>
        <v>3276</v>
      </c>
      <c r="W43" s="30">
        <f t="shared" si="25"/>
        <v>300248676</v>
      </c>
      <c r="X43" s="33">
        <f>'Table 6 Local Wealth Factor'!L43</f>
        <v>1.07445791</v>
      </c>
      <c r="Y43" s="33">
        <f t="shared" si="26"/>
        <v>0.09480576</v>
      </c>
      <c r="Z43" s="33">
        <f t="shared" si="27"/>
        <v>0.1018648</v>
      </c>
      <c r="AA43" s="30">
        <f t="shared" si="51"/>
        <v>112911603</v>
      </c>
      <c r="AB43" s="34">
        <f t="shared" si="28"/>
        <v>0.3761</v>
      </c>
      <c r="AC43" s="340">
        <f t="shared" si="29"/>
        <v>187337073</v>
      </c>
      <c r="AD43" s="34">
        <f t="shared" si="30"/>
        <v>0.6239</v>
      </c>
      <c r="AE43" s="645">
        <f>'Table 7 Local Revenue'!AL42</f>
        <v>186272700</v>
      </c>
      <c r="AF43" s="30">
        <f t="shared" si="31"/>
        <v>73361097</v>
      </c>
      <c r="AG43" s="37">
        <f t="shared" si="32"/>
        <v>0</v>
      </c>
      <c r="AH43" s="30">
        <f t="shared" si="52"/>
        <v>99082063</v>
      </c>
      <c r="AI43" s="35">
        <f t="shared" si="33"/>
        <v>73361097</v>
      </c>
      <c r="AJ43" s="340">
        <f t="shared" si="53"/>
        <v>26067050</v>
      </c>
      <c r="AK43" s="34">
        <f t="shared" si="34"/>
        <v>0.3553</v>
      </c>
      <c r="AL43" s="30">
        <f t="shared" si="54"/>
        <v>9139309</v>
      </c>
      <c r="AM43" s="30">
        <f t="shared" si="35"/>
        <v>99428147</v>
      </c>
      <c r="AN43" s="30">
        <f t="shared" si="36"/>
        <v>213404123</v>
      </c>
      <c r="AO43" s="30">
        <f t="shared" si="55"/>
        <v>3134.24</v>
      </c>
      <c r="AP43" s="30">
        <f>'Table 4 Level 3'!Y41</f>
        <v>10595927</v>
      </c>
      <c r="AQ43" s="30">
        <f t="shared" si="37"/>
        <v>155.62</v>
      </c>
      <c r="AR43" s="340">
        <f t="shared" si="38"/>
        <v>224000050</v>
      </c>
      <c r="AS43" s="37">
        <f>AR43-'Table 2 Distribution &amp; Adjusts'!L40</f>
        <v>1658511</v>
      </c>
      <c r="AT43" s="340">
        <f t="shared" si="56"/>
        <v>3289.86</v>
      </c>
      <c r="AU43" s="29">
        <f t="shared" si="39"/>
        <v>54</v>
      </c>
      <c r="AV43" s="34">
        <f t="shared" si="57"/>
        <v>0.546</v>
      </c>
      <c r="AW43" s="29">
        <f t="shared" si="40"/>
        <v>49</v>
      </c>
      <c r="AX43" s="30">
        <f t="shared" si="41"/>
        <v>186272700</v>
      </c>
      <c r="AY43" s="30">
        <f t="shared" si="58"/>
        <v>2735.76</v>
      </c>
      <c r="AZ43" s="29">
        <f t="shared" si="42"/>
        <v>23</v>
      </c>
      <c r="BA43" s="34">
        <f t="shared" si="43"/>
        <v>0.454</v>
      </c>
      <c r="BB43" s="30">
        <f t="shared" si="59"/>
        <v>410272750</v>
      </c>
      <c r="BC43" s="30">
        <f t="shared" si="60"/>
        <v>6025.62</v>
      </c>
      <c r="BD43" s="29">
        <f t="shared" si="44"/>
        <v>32</v>
      </c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</row>
    <row r="44" spans="1:153" s="6" customFormat="1" ht="12.75">
      <c r="A44" s="418">
        <v>37</v>
      </c>
      <c r="B44" s="326" t="s">
        <v>38</v>
      </c>
      <c r="C44" s="29">
        <f>'Table 8 Membership'!U44</f>
        <v>17602</v>
      </c>
      <c r="D44" s="326">
        <v>7598</v>
      </c>
      <c r="E44" s="313">
        <f t="shared" si="16"/>
        <v>4232592</v>
      </c>
      <c r="F44" s="29">
        <f t="shared" si="45"/>
        <v>1292</v>
      </c>
      <c r="G44" s="326">
        <f>'[3]Sheet1'!C39</f>
        <v>3232</v>
      </c>
      <c r="H44" s="313">
        <f t="shared" si="17"/>
        <v>530712</v>
      </c>
      <c r="I44" s="29">
        <f t="shared" si="46"/>
        <v>162</v>
      </c>
      <c r="J44" s="326">
        <f>'[1]Sheet1'!C42</f>
        <v>2291</v>
      </c>
      <c r="K44" s="313">
        <f t="shared" si="18"/>
        <v>11259612</v>
      </c>
      <c r="L44" s="29">
        <f t="shared" si="47"/>
        <v>3437</v>
      </c>
      <c r="M44" s="326">
        <f>'[1]Sheet1'!D42</f>
        <v>1076</v>
      </c>
      <c r="N44" s="30">
        <f t="shared" si="19"/>
        <v>2116296</v>
      </c>
      <c r="O44" s="29">
        <f t="shared" si="48"/>
        <v>646</v>
      </c>
      <c r="P44" s="29">
        <f t="shared" si="49"/>
        <v>0</v>
      </c>
      <c r="Q44" s="244">
        <f t="shared" si="50"/>
        <v>0</v>
      </c>
      <c r="R44" s="30">
        <f t="shared" si="20"/>
        <v>0</v>
      </c>
      <c r="S44" s="29">
        <f t="shared" si="21"/>
        <v>0</v>
      </c>
      <c r="T44" s="29">
        <f t="shared" si="22"/>
        <v>5537</v>
      </c>
      <c r="U44" s="29">
        <f t="shared" si="23"/>
        <v>23139</v>
      </c>
      <c r="V44" s="30">
        <f t="shared" si="24"/>
        <v>3276</v>
      </c>
      <c r="W44" s="30">
        <f t="shared" si="25"/>
        <v>75803364</v>
      </c>
      <c r="X44" s="33">
        <f>'Table 6 Local Wealth Factor'!L44</f>
        <v>0.72188734</v>
      </c>
      <c r="Y44" s="33">
        <f t="shared" si="26"/>
        <v>0.02393548</v>
      </c>
      <c r="Z44" s="33">
        <f t="shared" si="27"/>
        <v>0.01727872</v>
      </c>
      <c r="AA44" s="30">
        <f t="shared" si="51"/>
        <v>19152524</v>
      </c>
      <c r="AB44" s="34">
        <f t="shared" si="28"/>
        <v>0.2527</v>
      </c>
      <c r="AC44" s="340">
        <f t="shared" si="29"/>
        <v>56650840</v>
      </c>
      <c r="AD44" s="34">
        <f t="shared" si="30"/>
        <v>0.7473</v>
      </c>
      <c r="AE44" s="645">
        <f>'Table 7 Local Revenue'!AL43</f>
        <v>47813982</v>
      </c>
      <c r="AF44" s="30">
        <f t="shared" si="31"/>
        <v>28661458</v>
      </c>
      <c r="AG44" s="37">
        <f t="shared" si="32"/>
        <v>0</v>
      </c>
      <c r="AH44" s="30">
        <f t="shared" si="52"/>
        <v>25015110</v>
      </c>
      <c r="AI44" s="35">
        <f t="shared" si="33"/>
        <v>25015110</v>
      </c>
      <c r="AJ44" s="340">
        <f t="shared" si="53"/>
        <v>14180255</v>
      </c>
      <c r="AK44" s="34">
        <f t="shared" si="34"/>
        <v>0.5669</v>
      </c>
      <c r="AL44" s="30">
        <f t="shared" si="54"/>
        <v>0</v>
      </c>
      <c r="AM44" s="30">
        <f t="shared" si="35"/>
        <v>39195365</v>
      </c>
      <c r="AN44" s="30">
        <f t="shared" si="36"/>
        <v>70831095</v>
      </c>
      <c r="AO44" s="30">
        <f t="shared" si="55"/>
        <v>4024.04</v>
      </c>
      <c r="AP44" s="30">
        <f>'Table 4 Level 3'!Y42</f>
        <v>105357</v>
      </c>
      <c r="AQ44" s="30">
        <f t="shared" si="37"/>
        <v>5.99</v>
      </c>
      <c r="AR44" s="340">
        <f t="shared" si="38"/>
        <v>70936452</v>
      </c>
      <c r="AS44" s="37">
        <f>AR44-'Table 2 Distribution &amp; Adjusts'!L41</f>
        <v>2219825</v>
      </c>
      <c r="AT44" s="340">
        <f t="shared" si="56"/>
        <v>4030.02</v>
      </c>
      <c r="AU44" s="29">
        <f t="shared" si="39"/>
        <v>27</v>
      </c>
      <c r="AV44" s="34">
        <f t="shared" si="57"/>
        <v>0.6163</v>
      </c>
      <c r="AW44" s="29">
        <f t="shared" si="40"/>
        <v>40</v>
      </c>
      <c r="AX44" s="30">
        <f t="shared" si="41"/>
        <v>44167634</v>
      </c>
      <c r="AY44" s="30">
        <f t="shared" si="58"/>
        <v>2509.24</v>
      </c>
      <c r="AZ44" s="29">
        <f t="shared" si="42"/>
        <v>24</v>
      </c>
      <c r="BA44" s="34">
        <f t="shared" si="43"/>
        <v>0.3837</v>
      </c>
      <c r="BB44" s="30">
        <f t="shared" si="59"/>
        <v>115104086</v>
      </c>
      <c r="BC44" s="30">
        <f t="shared" si="60"/>
        <v>6539.26</v>
      </c>
      <c r="BD44" s="29">
        <f t="shared" si="44"/>
        <v>15</v>
      </c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</row>
    <row r="45" spans="1:153" s="6" customFormat="1" ht="12.75">
      <c r="A45" s="418">
        <v>38</v>
      </c>
      <c r="B45" s="326" t="s">
        <v>39</v>
      </c>
      <c r="C45" s="29">
        <f>'Table 8 Membership'!U45</f>
        <v>4610</v>
      </c>
      <c r="D45" s="326">
        <v>3032</v>
      </c>
      <c r="E45" s="313">
        <f t="shared" si="16"/>
        <v>1687140</v>
      </c>
      <c r="F45" s="29">
        <f t="shared" si="45"/>
        <v>515</v>
      </c>
      <c r="G45" s="326">
        <f>'[3]Sheet1'!C40</f>
        <v>1311</v>
      </c>
      <c r="H45" s="313">
        <f t="shared" si="17"/>
        <v>216216</v>
      </c>
      <c r="I45" s="29">
        <f t="shared" si="46"/>
        <v>66</v>
      </c>
      <c r="J45" s="326">
        <f>'[1]Sheet1'!C43</f>
        <v>600</v>
      </c>
      <c r="K45" s="313">
        <f t="shared" si="18"/>
        <v>2948400</v>
      </c>
      <c r="L45" s="29">
        <f t="shared" si="47"/>
        <v>900</v>
      </c>
      <c r="M45" s="326">
        <f>'[1]Sheet1'!D43</f>
        <v>144</v>
      </c>
      <c r="N45" s="30">
        <f t="shared" si="19"/>
        <v>281736</v>
      </c>
      <c r="O45" s="29">
        <f t="shared" si="48"/>
        <v>86</v>
      </c>
      <c r="P45" s="29">
        <f t="shared" si="49"/>
        <v>2890</v>
      </c>
      <c r="Q45" s="244">
        <f t="shared" si="50"/>
        <v>0.07707</v>
      </c>
      <c r="R45" s="30">
        <f t="shared" si="20"/>
        <v>1162980</v>
      </c>
      <c r="S45" s="29">
        <f t="shared" si="21"/>
        <v>355</v>
      </c>
      <c r="T45" s="29">
        <f t="shared" si="22"/>
        <v>1922</v>
      </c>
      <c r="U45" s="29">
        <f t="shared" si="23"/>
        <v>6532</v>
      </c>
      <c r="V45" s="30">
        <f t="shared" si="24"/>
        <v>3276</v>
      </c>
      <c r="W45" s="30">
        <f t="shared" si="25"/>
        <v>21398832</v>
      </c>
      <c r="X45" s="33">
        <f>'Table 6 Local Wealth Factor'!L45</f>
        <v>2.35106875</v>
      </c>
      <c r="Y45" s="33">
        <f t="shared" si="26"/>
        <v>0.00675684</v>
      </c>
      <c r="Z45" s="33">
        <f t="shared" si="27"/>
        <v>0.0158858</v>
      </c>
      <c r="AA45" s="30">
        <f t="shared" si="51"/>
        <v>17608547</v>
      </c>
      <c r="AB45" s="34">
        <f t="shared" si="28"/>
        <v>0.8229</v>
      </c>
      <c r="AC45" s="340">
        <f t="shared" si="29"/>
        <v>3790285</v>
      </c>
      <c r="AD45" s="34">
        <f t="shared" si="30"/>
        <v>0.1771</v>
      </c>
      <c r="AE45" s="645">
        <f>'Table 7 Local Revenue'!AL44</f>
        <v>21684435.5</v>
      </c>
      <c r="AF45" s="30">
        <f t="shared" si="31"/>
        <v>4075888.5</v>
      </c>
      <c r="AG45" s="37">
        <f t="shared" si="32"/>
        <v>0</v>
      </c>
      <c r="AH45" s="30">
        <f t="shared" si="52"/>
        <v>7061615</v>
      </c>
      <c r="AI45" s="35">
        <f t="shared" si="33"/>
        <v>4075888.5</v>
      </c>
      <c r="AJ45" s="340">
        <f t="shared" si="53"/>
        <v>0</v>
      </c>
      <c r="AK45" s="34">
        <f t="shared" si="34"/>
        <v>0</v>
      </c>
      <c r="AL45" s="30">
        <f t="shared" si="54"/>
        <v>0</v>
      </c>
      <c r="AM45" s="30">
        <f t="shared" si="35"/>
        <v>4075888.5</v>
      </c>
      <c r="AN45" s="30">
        <f t="shared" si="36"/>
        <v>3790285</v>
      </c>
      <c r="AO45" s="30">
        <f t="shared" si="55"/>
        <v>822.19</v>
      </c>
      <c r="AP45" s="30">
        <f>'Table 4 Level 3'!Y43</f>
        <v>7301293</v>
      </c>
      <c r="AQ45" s="30">
        <f t="shared" si="37"/>
        <v>1583.79</v>
      </c>
      <c r="AR45" s="340">
        <f t="shared" si="38"/>
        <v>11091578</v>
      </c>
      <c r="AS45" s="37">
        <f>AR45-'Table 2 Distribution &amp; Adjusts'!L42</f>
        <v>414873</v>
      </c>
      <c r="AT45" s="340">
        <f t="shared" si="56"/>
        <v>2405.98</v>
      </c>
      <c r="AU45" s="29">
        <f t="shared" si="39"/>
        <v>64</v>
      </c>
      <c r="AV45" s="34">
        <f t="shared" si="57"/>
        <v>0.3384</v>
      </c>
      <c r="AW45" s="29">
        <f t="shared" si="40"/>
        <v>65</v>
      </c>
      <c r="AX45" s="30">
        <f t="shared" si="41"/>
        <v>21684435.5</v>
      </c>
      <c r="AY45" s="30">
        <f t="shared" si="58"/>
        <v>4703.78</v>
      </c>
      <c r="AZ45" s="29">
        <f t="shared" si="42"/>
        <v>2</v>
      </c>
      <c r="BA45" s="34">
        <f t="shared" si="43"/>
        <v>0.6616</v>
      </c>
      <c r="BB45" s="30">
        <f t="shared" si="59"/>
        <v>32776013.5</v>
      </c>
      <c r="BC45" s="30">
        <f t="shared" si="60"/>
        <v>7109.76</v>
      </c>
      <c r="BD45" s="29">
        <f t="shared" si="44"/>
        <v>6</v>
      </c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</row>
    <row r="46" spans="1:153" s="6" customFormat="1" ht="12.75">
      <c r="A46" s="418">
        <v>39</v>
      </c>
      <c r="B46" s="326" t="s">
        <v>40</v>
      </c>
      <c r="C46" s="29">
        <f>'Table 8 Membership'!U46</f>
        <v>3168</v>
      </c>
      <c r="D46" s="326">
        <v>2415</v>
      </c>
      <c r="E46" s="313">
        <f t="shared" si="16"/>
        <v>1346436</v>
      </c>
      <c r="F46" s="29">
        <f t="shared" si="45"/>
        <v>411</v>
      </c>
      <c r="G46" s="326">
        <f>'[3]Sheet1'!C41</f>
        <v>947</v>
      </c>
      <c r="H46" s="313">
        <f t="shared" si="17"/>
        <v>153972</v>
      </c>
      <c r="I46" s="29">
        <f t="shared" si="46"/>
        <v>47</v>
      </c>
      <c r="J46" s="326">
        <f>'[1]Sheet1'!C44</f>
        <v>663</v>
      </c>
      <c r="K46" s="313">
        <f t="shared" si="18"/>
        <v>3259620</v>
      </c>
      <c r="L46" s="29">
        <f t="shared" si="47"/>
        <v>995</v>
      </c>
      <c r="M46" s="326">
        <f>'[1]Sheet1'!D44</f>
        <v>13</v>
      </c>
      <c r="N46" s="30">
        <f t="shared" si="19"/>
        <v>26208</v>
      </c>
      <c r="O46" s="29">
        <f t="shared" si="48"/>
        <v>8</v>
      </c>
      <c r="P46" s="29">
        <f t="shared" si="49"/>
        <v>4332</v>
      </c>
      <c r="Q46" s="244">
        <f t="shared" si="50"/>
        <v>0.11552</v>
      </c>
      <c r="R46" s="30">
        <f t="shared" si="20"/>
        <v>1199016</v>
      </c>
      <c r="S46" s="29">
        <f t="shared" si="21"/>
        <v>366</v>
      </c>
      <c r="T46" s="29">
        <f t="shared" si="22"/>
        <v>1827</v>
      </c>
      <c r="U46" s="29">
        <f t="shared" si="23"/>
        <v>4995</v>
      </c>
      <c r="V46" s="30">
        <f t="shared" si="24"/>
        <v>3276</v>
      </c>
      <c r="W46" s="30">
        <f t="shared" si="25"/>
        <v>16363620</v>
      </c>
      <c r="X46" s="33">
        <f>'Table 6 Local Wealth Factor'!L46</f>
        <v>1.68784974</v>
      </c>
      <c r="Y46" s="33">
        <f t="shared" si="26"/>
        <v>0.00516693</v>
      </c>
      <c r="Z46" s="33">
        <f t="shared" si="27"/>
        <v>0.008721</v>
      </c>
      <c r="AA46" s="30">
        <f t="shared" si="51"/>
        <v>9666755</v>
      </c>
      <c r="AB46" s="34">
        <f t="shared" si="28"/>
        <v>0.5907</v>
      </c>
      <c r="AC46" s="340">
        <f t="shared" si="29"/>
        <v>6696865</v>
      </c>
      <c r="AD46" s="34">
        <f t="shared" si="30"/>
        <v>0.4093</v>
      </c>
      <c r="AE46" s="645">
        <f>'Table 7 Local Revenue'!AL45</f>
        <v>9461851</v>
      </c>
      <c r="AF46" s="30">
        <f t="shared" si="31"/>
        <v>0</v>
      </c>
      <c r="AG46" s="37">
        <f t="shared" si="32"/>
        <v>-204904</v>
      </c>
      <c r="AH46" s="30">
        <f t="shared" si="52"/>
        <v>5399995</v>
      </c>
      <c r="AI46" s="35">
        <f t="shared" si="33"/>
        <v>0</v>
      </c>
      <c r="AJ46" s="340">
        <f t="shared" si="53"/>
        <v>0</v>
      </c>
      <c r="AK46" s="34">
        <f t="shared" si="34"/>
        <v>0</v>
      </c>
      <c r="AL46" s="30">
        <f t="shared" si="54"/>
        <v>0</v>
      </c>
      <c r="AM46" s="30">
        <f t="shared" si="35"/>
        <v>0</v>
      </c>
      <c r="AN46" s="30">
        <f t="shared" si="36"/>
        <v>6696865</v>
      </c>
      <c r="AO46" s="30">
        <f t="shared" si="55"/>
        <v>2113.91</v>
      </c>
      <c r="AP46" s="30">
        <f>'Table 4 Level 3'!Y44</f>
        <v>814188</v>
      </c>
      <c r="AQ46" s="30">
        <f t="shared" si="37"/>
        <v>257</v>
      </c>
      <c r="AR46" s="340">
        <f t="shared" si="38"/>
        <v>7511053</v>
      </c>
      <c r="AS46" s="37">
        <f>AR46-'Table 2 Distribution &amp; Adjusts'!L43</f>
        <v>-1591476</v>
      </c>
      <c r="AT46" s="340">
        <f t="shared" si="56"/>
        <v>2370.91</v>
      </c>
      <c r="AU46" s="29">
        <f t="shared" si="39"/>
        <v>66</v>
      </c>
      <c r="AV46" s="34">
        <f t="shared" si="57"/>
        <v>0.4373</v>
      </c>
      <c r="AW46" s="29">
        <f t="shared" si="40"/>
        <v>61</v>
      </c>
      <c r="AX46" s="30">
        <f t="shared" si="41"/>
        <v>9666755</v>
      </c>
      <c r="AY46" s="30">
        <f t="shared" si="58"/>
        <v>3051.37</v>
      </c>
      <c r="AZ46" s="29">
        <f t="shared" si="42"/>
        <v>15</v>
      </c>
      <c r="BA46" s="34">
        <f t="shared" si="43"/>
        <v>0.5627</v>
      </c>
      <c r="BB46" s="30">
        <f t="shared" si="59"/>
        <v>17177808</v>
      </c>
      <c r="BC46" s="30">
        <f t="shared" si="60"/>
        <v>5422.29</v>
      </c>
      <c r="BD46" s="29">
        <f t="shared" si="44"/>
        <v>55</v>
      </c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</row>
    <row r="47" spans="1:153" s="49" customFormat="1" ht="12.75">
      <c r="A47" s="419">
        <v>40</v>
      </c>
      <c r="B47" s="329" t="s">
        <v>41</v>
      </c>
      <c r="C47" s="43">
        <f>'Table 8 Membership'!U47</f>
        <v>22402</v>
      </c>
      <c r="D47" s="326">
        <v>14139</v>
      </c>
      <c r="E47" s="313">
        <f t="shared" si="16"/>
        <v>7875504</v>
      </c>
      <c r="F47" s="43">
        <f t="shared" si="45"/>
        <v>2404</v>
      </c>
      <c r="G47" s="326">
        <f>'[3]Sheet1'!C42</f>
        <v>5792</v>
      </c>
      <c r="H47" s="313">
        <f t="shared" si="17"/>
        <v>950040</v>
      </c>
      <c r="I47" s="43">
        <f t="shared" si="46"/>
        <v>290</v>
      </c>
      <c r="J47" s="326">
        <f>'[1]Sheet1'!C45</f>
        <v>3280</v>
      </c>
      <c r="K47" s="313">
        <f t="shared" si="18"/>
        <v>16117920</v>
      </c>
      <c r="L47" s="43">
        <f t="shared" si="47"/>
        <v>4920</v>
      </c>
      <c r="M47" s="326">
        <f>'[1]Sheet1'!D45</f>
        <v>433</v>
      </c>
      <c r="N47" s="30">
        <f t="shared" si="19"/>
        <v>851760</v>
      </c>
      <c r="O47" s="43">
        <f t="shared" si="48"/>
        <v>260</v>
      </c>
      <c r="P47" s="43">
        <f t="shared" si="49"/>
        <v>0</v>
      </c>
      <c r="Q47" s="245">
        <f t="shared" si="50"/>
        <v>0</v>
      </c>
      <c r="R47" s="44">
        <f t="shared" si="20"/>
        <v>0</v>
      </c>
      <c r="S47" s="43">
        <f t="shared" si="21"/>
        <v>0</v>
      </c>
      <c r="T47" s="43">
        <f t="shared" si="22"/>
        <v>7874</v>
      </c>
      <c r="U47" s="29">
        <f t="shared" si="23"/>
        <v>30276</v>
      </c>
      <c r="V47" s="44">
        <f t="shared" si="24"/>
        <v>3276</v>
      </c>
      <c r="W47" s="44">
        <f t="shared" si="25"/>
        <v>99184176</v>
      </c>
      <c r="X47" s="46">
        <f>'Table 6 Local Wealth Factor'!L47</f>
        <v>0.87108089</v>
      </c>
      <c r="Y47" s="46">
        <f t="shared" si="26"/>
        <v>0.03131814</v>
      </c>
      <c r="Z47" s="46">
        <f t="shared" si="27"/>
        <v>0.02728063</v>
      </c>
      <c r="AA47" s="44">
        <f t="shared" si="51"/>
        <v>30239098</v>
      </c>
      <c r="AB47" s="47">
        <f t="shared" si="28"/>
        <v>0.3049</v>
      </c>
      <c r="AC47" s="341">
        <f t="shared" si="29"/>
        <v>68945078</v>
      </c>
      <c r="AD47" s="47">
        <f t="shared" si="30"/>
        <v>0.6951</v>
      </c>
      <c r="AE47" s="646">
        <f>'Table 7 Local Revenue'!AL46</f>
        <v>52650638</v>
      </c>
      <c r="AF47" s="44">
        <f t="shared" si="31"/>
        <v>22411540</v>
      </c>
      <c r="AG47" s="55">
        <f t="shared" si="32"/>
        <v>0</v>
      </c>
      <c r="AH47" s="44">
        <f t="shared" si="52"/>
        <v>32730778</v>
      </c>
      <c r="AI47" s="48">
        <f t="shared" si="33"/>
        <v>22411540</v>
      </c>
      <c r="AJ47" s="341">
        <f t="shared" si="53"/>
        <v>10698181</v>
      </c>
      <c r="AK47" s="47">
        <f t="shared" si="34"/>
        <v>0.4774</v>
      </c>
      <c r="AL47" s="44">
        <f t="shared" si="54"/>
        <v>4925904</v>
      </c>
      <c r="AM47" s="44">
        <f t="shared" si="35"/>
        <v>33109721</v>
      </c>
      <c r="AN47" s="44">
        <f t="shared" si="36"/>
        <v>79643259</v>
      </c>
      <c r="AO47" s="44">
        <f t="shared" si="55"/>
        <v>3555.19</v>
      </c>
      <c r="AP47" s="44">
        <f>'Table 4 Level 3'!Y45</f>
        <v>3719081</v>
      </c>
      <c r="AQ47" s="44">
        <f t="shared" si="37"/>
        <v>166.02</v>
      </c>
      <c r="AR47" s="341">
        <f t="shared" si="38"/>
        <v>83362340</v>
      </c>
      <c r="AS47" s="55">
        <f>AR47-'Table 2 Distribution &amp; Adjusts'!L44</f>
        <v>3781929</v>
      </c>
      <c r="AT47" s="341">
        <f t="shared" si="56"/>
        <v>3721.2</v>
      </c>
      <c r="AU47" s="43">
        <f t="shared" si="39"/>
        <v>42</v>
      </c>
      <c r="AV47" s="47">
        <f t="shared" si="57"/>
        <v>0.6129</v>
      </c>
      <c r="AW47" s="43">
        <f t="shared" si="40"/>
        <v>42</v>
      </c>
      <c r="AX47" s="44">
        <f t="shared" si="41"/>
        <v>52650638</v>
      </c>
      <c r="AY47" s="44">
        <f t="shared" si="58"/>
        <v>2350.27</v>
      </c>
      <c r="AZ47" s="43">
        <f t="shared" si="42"/>
        <v>25</v>
      </c>
      <c r="BA47" s="47">
        <f t="shared" si="43"/>
        <v>0.3871</v>
      </c>
      <c r="BB47" s="44">
        <f t="shared" si="59"/>
        <v>136012978</v>
      </c>
      <c r="BC47" s="44">
        <f t="shared" si="60"/>
        <v>6071.47</v>
      </c>
      <c r="BD47" s="43">
        <f t="shared" si="44"/>
        <v>30</v>
      </c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</row>
    <row r="48" spans="1:153" s="6" customFormat="1" ht="12.75">
      <c r="A48" s="418">
        <v>41</v>
      </c>
      <c r="B48" s="326" t="s">
        <v>42</v>
      </c>
      <c r="C48" s="29">
        <f>'Table 8 Membership'!U48</f>
        <v>1532</v>
      </c>
      <c r="D48" s="326">
        <v>1211</v>
      </c>
      <c r="E48" s="313">
        <f t="shared" si="16"/>
        <v>674856</v>
      </c>
      <c r="F48" s="29">
        <f t="shared" si="45"/>
        <v>206</v>
      </c>
      <c r="G48" s="326">
        <f>'[3]Sheet1'!C43</f>
        <v>487</v>
      </c>
      <c r="H48" s="313">
        <f t="shared" si="17"/>
        <v>78624</v>
      </c>
      <c r="I48" s="29">
        <f t="shared" si="46"/>
        <v>24</v>
      </c>
      <c r="J48" s="326">
        <f>'[1]Sheet1'!C46</f>
        <v>227</v>
      </c>
      <c r="K48" s="313">
        <f t="shared" si="18"/>
        <v>1117116</v>
      </c>
      <c r="L48" s="29">
        <f t="shared" si="47"/>
        <v>341</v>
      </c>
      <c r="M48" s="326">
        <f>'[1]Sheet1'!D46</f>
        <v>2</v>
      </c>
      <c r="N48" s="30">
        <f t="shared" si="19"/>
        <v>3276</v>
      </c>
      <c r="O48" s="29">
        <f t="shared" si="48"/>
        <v>1</v>
      </c>
      <c r="P48" s="29">
        <f t="shared" si="49"/>
        <v>5968</v>
      </c>
      <c r="Q48" s="244">
        <f t="shared" si="50"/>
        <v>0.15915</v>
      </c>
      <c r="R48" s="30">
        <f t="shared" si="20"/>
        <v>799344</v>
      </c>
      <c r="S48" s="29">
        <f t="shared" si="21"/>
        <v>244</v>
      </c>
      <c r="T48" s="29">
        <f t="shared" si="22"/>
        <v>816</v>
      </c>
      <c r="U48" s="104">
        <f t="shared" si="23"/>
        <v>2348</v>
      </c>
      <c r="V48" s="30">
        <f t="shared" si="24"/>
        <v>3276</v>
      </c>
      <c r="W48" s="30">
        <f t="shared" si="25"/>
        <v>7692048</v>
      </c>
      <c r="X48" s="33">
        <f>'Table 6 Local Wealth Factor'!L48</f>
        <v>0.49718668</v>
      </c>
      <c r="Y48" s="33">
        <f t="shared" si="26"/>
        <v>0.00242882</v>
      </c>
      <c r="Z48" s="33">
        <f t="shared" si="27"/>
        <v>0.00120758</v>
      </c>
      <c r="AA48" s="30">
        <f t="shared" si="51"/>
        <v>1338537</v>
      </c>
      <c r="AB48" s="34">
        <f t="shared" si="28"/>
        <v>0.174</v>
      </c>
      <c r="AC48" s="340">
        <f t="shared" si="29"/>
        <v>6353511</v>
      </c>
      <c r="AD48" s="34">
        <f t="shared" si="30"/>
        <v>0.826</v>
      </c>
      <c r="AE48" s="645">
        <f>'Table 7 Local Revenue'!AL47</f>
        <v>3376445.5</v>
      </c>
      <c r="AF48" s="30">
        <f t="shared" si="31"/>
        <v>2037908.5</v>
      </c>
      <c r="AG48" s="37">
        <f t="shared" si="32"/>
        <v>0</v>
      </c>
      <c r="AH48" s="30">
        <f t="shared" si="52"/>
        <v>2538376</v>
      </c>
      <c r="AI48" s="35">
        <f t="shared" si="33"/>
        <v>2037908.5</v>
      </c>
      <c r="AJ48" s="340">
        <f t="shared" si="53"/>
        <v>1429976</v>
      </c>
      <c r="AK48" s="34">
        <f t="shared" si="34"/>
        <v>0.7017</v>
      </c>
      <c r="AL48" s="30">
        <f t="shared" si="54"/>
        <v>351172</v>
      </c>
      <c r="AM48" s="30">
        <f t="shared" si="35"/>
        <v>3467884.5</v>
      </c>
      <c r="AN48" s="30">
        <f t="shared" si="36"/>
        <v>7783487</v>
      </c>
      <c r="AO48" s="30">
        <f t="shared" si="55"/>
        <v>5080.61</v>
      </c>
      <c r="AP48" s="30">
        <f>'Table 4 Level 3'!Y46</f>
        <v>312528</v>
      </c>
      <c r="AQ48" s="30">
        <f t="shared" si="37"/>
        <v>204</v>
      </c>
      <c r="AR48" s="340">
        <f t="shared" si="38"/>
        <v>8096015</v>
      </c>
      <c r="AS48" s="37">
        <f>AR48-'Table 2 Distribution &amp; Adjusts'!L45</f>
        <v>-480264</v>
      </c>
      <c r="AT48" s="340">
        <f t="shared" si="56"/>
        <v>5284.61</v>
      </c>
      <c r="AU48" s="29">
        <f t="shared" si="39"/>
        <v>1</v>
      </c>
      <c r="AV48" s="34">
        <f t="shared" si="57"/>
        <v>0.7057</v>
      </c>
      <c r="AW48" s="29">
        <f t="shared" si="40"/>
        <v>26</v>
      </c>
      <c r="AX48" s="30">
        <f t="shared" si="41"/>
        <v>3376445.5</v>
      </c>
      <c r="AY48" s="30">
        <f t="shared" si="58"/>
        <v>2203.95</v>
      </c>
      <c r="AZ48" s="29">
        <f t="shared" si="42"/>
        <v>29</v>
      </c>
      <c r="BA48" s="34">
        <f t="shared" si="43"/>
        <v>0.2943</v>
      </c>
      <c r="BB48" s="30">
        <f t="shared" si="59"/>
        <v>11472460.5</v>
      </c>
      <c r="BC48" s="30">
        <f t="shared" si="60"/>
        <v>7488.55</v>
      </c>
      <c r="BD48" s="29">
        <f t="shared" si="44"/>
        <v>2</v>
      </c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</row>
    <row r="49" spans="1:153" s="6" customFormat="1" ht="12.75">
      <c r="A49" s="418">
        <v>42</v>
      </c>
      <c r="B49" s="326" t="s">
        <v>43</v>
      </c>
      <c r="C49" s="29">
        <f>'Table 8 Membership'!U49</f>
        <v>3519</v>
      </c>
      <c r="D49" s="326">
        <v>2490</v>
      </c>
      <c r="E49" s="313">
        <f t="shared" si="16"/>
        <v>1385748</v>
      </c>
      <c r="F49" s="29">
        <f t="shared" si="45"/>
        <v>423</v>
      </c>
      <c r="G49" s="326">
        <f>'[3]Sheet1'!C44</f>
        <v>755</v>
      </c>
      <c r="H49" s="313">
        <f t="shared" si="17"/>
        <v>124488</v>
      </c>
      <c r="I49" s="29">
        <f t="shared" si="46"/>
        <v>38</v>
      </c>
      <c r="J49" s="326">
        <f>'[1]Sheet1'!C47</f>
        <v>509</v>
      </c>
      <c r="K49" s="313">
        <f t="shared" si="18"/>
        <v>2502864</v>
      </c>
      <c r="L49" s="29">
        <f t="shared" si="47"/>
        <v>764</v>
      </c>
      <c r="M49" s="326">
        <f>'[1]Sheet1'!D47</f>
        <v>81</v>
      </c>
      <c r="N49" s="30">
        <f t="shared" si="19"/>
        <v>160524</v>
      </c>
      <c r="O49" s="29">
        <f t="shared" si="48"/>
        <v>49</v>
      </c>
      <c r="P49" s="29">
        <f t="shared" si="49"/>
        <v>3981</v>
      </c>
      <c r="Q49" s="244">
        <f t="shared" si="50"/>
        <v>0.10616</v>
      </c>
      <c r="R49" s="30">
        <f t="shared" si="20"/>
        <v>1225224</v>
      </c>
      <c r="S49" s="29">
        <f t="shared" si="21"/>
        <v>374</v>
      </c>
      <c r="T49" s="29">
        <f t="shared" si="22"/>
        <v>1648</v>
      </c>
      <c r="U49" s="29">
        <f t="shared" si="23"/>
        <v>5167</v>
      </c>
      <c r="V49" s="30">
        <f t="shared" si="24"/>
        <v>3276</v>
      </c>
      <c r="W49" s="30">
        <f t="shared" si="25"/>
        <v>16927092</v>
      </c>
      <c r="X49" s="33">
        <f>'Table 6 Local Wealth Factor'!L49</f>
        <v>0.54227185</v>
      </c>
      <c r="Y49" s="33">
        <f t="shared" si="26"/>
        <v>0.00534486</v>
      </c>
      <c r="Z49" s="33">
        <f t="shared" si="27"/>
        <v>0.00289837</v>
      </c>
      <c r="AA49" s="30">
        <f t="shared" si="51"/>
        <v>3212686</v>
      </c>
      <c r="AB49" s="34">
        <f t="shared" si="28"/>
        <v>0.1898</v>
      </c>
      <c r="AC49" s="340">
        <f t="shared" si="29"/>
        <v>13714406</v>
      </c>
      <c r="AD49" s="34">
        <f t="shared" si="30"/>
        <v>0.8102</v>
      </c>
      <c r="AE49" s="645">
        <f>'Table 7 Local Revenue'!AL48</f>
        <v>5337107</v>
      </c>
      <c r="AF49" s="30">
        <f t="shared" si="31"/>
        <v>2124421</v>
      </c>
      <c r="AG49" s="37">
        <f t="shared" si="32"/>
        <v>0</v>
      </c>
      <c r="AH49" s="30">
        <f t="shared" si="52"/>
        <v>5585940</v>
      </c>
      <c r="AI49" s="35">
        <f t="shared" si="33"/>
        <v>2124421</v>
      </c>
      <c r="AJ49" s="340">
        <f t="shared" si="53"/>
        <v>1433213</v>
      </c>
      <c r="AK49" s="34">
        <f t="shared" si="34"/>
        <v>0.6746</v>
      </c>
      <c r="AL49" s="30">
        <f t="shared" si="54"/>
        <v>2335268</v>
      </c>
      <c r="AM49" s="30">
        <f t="shared" si="35"/>
        <v>3557634</v>
      </c>
      <c r="AN49" s="30">
        <f t="shared" si="36"/>
        <v>15147619</v>
      </c>
      <c r="AO49" s="30">
        <f t="shared" si="55"/>
        <v>4304.52</v>
      </c>
      <c r="AP49" s="30">
        <f>'Table 4 Level 3'!Y47</f>
        <v>54735</v>
      </c>
      <c r="AQ49" s="30">
        <f t="shared" si="37"/>
        <v>15.55</v>
      </c>
      <c r="AR49" s="340">
        <f t="shared" si="38"/>
        <v>15202354</v>
      </c>
      <c r="AS49" s="37">
        <f>AR49-'Table 2 Distribution &amp; Adjusts'!L46</f>
        <v>230367</v>
      </c>
      <c r="AT49" s="340">
        <f t="shared" si="56"/>
        <v>4320.08</v>
      </c>
      <c r="AU49" s="29">
        <f t="shared" si="39"/>
        <v>15</v>
      </c>
      <c r="AV49" s="34">
        <f t="shared" si="57"/>
        <v>0.7402</v>
      </c>
      <c r="AW49" s="29">
        <f t="shared" si="40"/>
        <v>14</v>
      </c>
      <c r="AX49" s="30">
        <f t="shared" si="41"/>
        <v>5337107</v>
      </c>
      <c r="AY49" s="30">
        <f t="shared" si="58"/>
        <v>1516.65</v>
      </c>
      <c r="AZ49" s="29">
        <f t="shared" si="42"/>
        <v>49</v>
      </c>
      <c r="BA49" s="34">
        <f t="shared" si="43"/>
        <v>0.2598</v>
      </c>
      <c r="BB49" s="30">
        <f t="shared" si="59"/>
        <v>20539461</v>
      </c>
      <c r="BC49" s="30">
        <f t="shared" si="60"/>
        <v>5836.73</v>
      </c>
      <c r="BD49" s="29">
        <f t="shared" si="44"/>
        <v>42</v>
      </c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</row>
    <row r="50" spans="1:153" s="6" customFormat="1" ht="12.75">
      <c r="A50" s="418">
        <v>43</v>
      </c>
      <c r="B50" s="326" t="s">
        <v>44</v>
      </c>
      <c r="C50" s="29">
        <f>'Table 8 Membership'!U50</f>
        <v>4129</v>
      </c>
      <c r="D50" s="326">
        <v>2569</v>
      </c>
      <c r="E50" s="313">
        <f t="shared" si="16"/>
        <v>1431612</v>
      </c>
      <c r="F50" s="29">
        <f t="shared" si="45"/>
        <v>437</v>
      </c>
      <c r="G50" s="326">
        <f>'[3]Sheet1'!C45</f>
        <v>1786</v>
      </c>
      <c r="H50" s="313">
        <f t="shared" si="17"/>
        <v>291564</v>
      </c>
      <c r="I50" s="29">
        <f t="shared" si="46"/>
        <v>89</v>
      </c>
      <c r="J50" s="326">
        <f>'[1]Sheet1'!C48</f>
        <v>656</v>
      </c>
      <c r="K50" s="313">
        <f t="shared" si="18"/>
        <v>3223584</v>
      </c>
      <c r="L50" s="29">
        <f t="shared" si="47"/>
        <v>984</v>
      </c>
      <c r="M50" s="326">
        <f>'[1]Sheet1'!D48</f>
        <v>80</v>
      </c>
      <c r="N50" s="30">
        <f t="shared" si="19"/>
        <v>157248</v>
      </c>
      <c r="O50" s="29">
        <f t="shared" si="48"/>
        <v>48</v>
      </c>
      <c r="P50" s="29">
        <f t="shared" si="49"/>
        <v>3371</v>
      </c>
      <c r="Q50" s="244">
        <f t="shared" si="50"/>
        <v>0.08989</v>
      </c>
      <c r="R50" s="30">
        <f t="shared" si="20"/>
        <v>1215396</v>
      </c>
      <c r="S50" s="29">
        <f t="shared" si="21"/>
        <v>371</v>
      </c>
      <c r="T50" s="29">
        <f t="shared" si="22"/>
        <v>1929</v>
      </c>
      <c r="U50" s="29">
        <f t="shared" si="23"/>
        <v>6058</v>
      </c>
      <c r="V50" s="30">
        <f t="shared" si="24"/>
        <v>3276</v>
      </c>
      <c r="W50" s="30">
        <f t="shared" si="25"/>
        <v>19846008</v>
      </c>
      <c r="X50" s="33">
        <f>'Table 6 Local Wealth Factor'!L50</f>
        <v>0.60553304</v>
      </c>
      <c r="Y50" s="33">
        <f t="shared" si="26"/>
        <v>0.00626652</v>
      </c>
      <c r="Z50" s="33">
        <f t="shared" si="27"/>
        <v>0.00379458</v>
      </c>
      <c r="AA50" s="30">
        <f t="shared" si="51"/>
        <v>4206086</v>
      </c>
      <c r="AB50" s="34">
        <f t="shared" si="28"/>
        <v>0.2119</v>
      </c>
      <c r="AC50" s="340">
        <f t="shared" si="29"/>
        <v>15639922</v>
      </c>
      <c r="AD50" s="34">
        <f t="shared" si="30"/>
        <v>0.7881</v>
      </c>
      <c r="AE50" s="645">
        <f>'Table 7 Local Revenue'!AL49</f>
        <v>6916319</v>
      </c>
      <c r="AF50" s="30">
        <f t="shared" si="31"/>
        <v>2710233</v>
      </c>
      <c r="AG50" s="37">
        <f t="shared" si="32"/>
        <v>0</v>
      </c>
      <c r="AH50" s="30">
        <f t="shared" si="52"/>
        <v>6549183</v>
      </c>
      <c r="AI50" s="35">
        <f t="shared" si="33"/>
        <v>2710233</v>
      </c>
      <c r="AJ50" s="340">
        <f t="shared" si="53"/>
        <v>1725552</v>
      </c>
      <c r="AK50" s="34">
        <f t="shared" si="34"/>
        <v>0.6367</v>
      </c>
      <c r="AL50" s="30">
        <f t="shared" si="54"/>
        <v>2444183</v>
      </c>
      <c r="AM50" s="30">
        <f t="shared" si="35"/>
        <v>4435785</v>
      </c>
      <c r="AN50" s="30">
        <f t="shared" si="36"/>
        <v>17365474</v>
      </c>
      <c r="AO50" s="30">
        <f t="shared" si="55"/>
        <v>4205.73</v>
      </c>
      <c r="AP50" s="30">
        <f>'Table 4 Level 3'!Y48</f>
        <v>0</v>
      </c>
      <c r="AQ50" s="30">
        <f t="shared" si="37"/>
        <v>0</v>
      </c>
      <c r="AR50" s="340">
        <f t="shared" si="38"/>
        <v>17365474</v>
      </c>
      <c r="AS50" s="37">
        <f>AR50-'Table 2 Distribution &amp; Adjusts'!L47</f>
        <v>1197650</v>
      </c>
      <c r="AT50" s="340">
        <f t="shared" si="56"/>
        <v>4205.73</v>
      </c>
      <c r="AU50" s="29">
        <f t="shared" si="39"/>
        <v>19</v>
      </c>
      <c r="AV50" s="34">
        <f t="shared" si="57"/>
        <v>0.7152</v>
      </c>
      <c r="AW50" s="29">
        <f t="shared" si="40"/>
        <v>22</v>
      </c>
      <c r="AX50" s="30">
        <f t="shared" si="41"/>
        <v>6916319</v>
      </c>
      <c r="AY50" s="30">
        <f t="shared" si="58"/>
        <v>1675.06</v>
      </c>
      <c r="AZ50" s="29">
        <f t="shared" si="42"/>
        <v>45</v>
      </c>
      <c r="BA50" s="34">
        <f t="shared" si="43"/>
        <v>0.2848</v>
      </c>
      <c r="BB50" s="30">
        <f t="shared" si="59"/>
        <v>24281793</v>
      </c>
      <c r="BC50" s="30">
        <f t="shared" si="60"/>
        <v>5880.79</v>
      </c>
      <c r="BD50" s="29">
        <f t="shared" si="44"/>
        <v>39</v>
      </c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</row>
    <row r="51" spans="1:153" s="6" customFormat="1" ht="12.75">
      <c r="A51" s="418">
        <v>44</v>
      </c>
      <c r="B51" s="326" t="s">
        <v>45</v>
      </c>
      <c r="C51" s="29">
        <f>'Table 8 Membership'!U51</f>
        <v>8383</v>
      </c>
      <c r="D51" s="326">
        <v>4839</v>
      </c>
      <c r="E51" s="313">
        <f t="shared" si="16"/>
        <v>2696148</v>
      </c>
      <c r="F51" s="29">
        <f t="shared" si="45"/>
        <v>823</v>
      </c>
      <c r="G51" s="326">
        <f>'[3]Sheet1'!C46</f>
        <v>1304</v>
      </c>
      <c r="H51" s="313">
        <f t="shared" si="17"/>
        <v>212940</v>
      </c>
      <c r="I51" s="29">
        <f t="shared" si="46"/>
        <v>65</v>
      </c>
      <c r="J51" s="326">
        <f>'[1]Sheet1'!C49</f>
        <v>1273</v>
      </c>
      <c r="K51" s="313">
        <f t="shared" si="18"/>
        <v>6257160</v>
      </c>
      <c r="L51" s="29">
        <f t="shared" si="47"/>
        <v>1910</v>
      </c>
      <c r="M51" s="326">
        <f>'[1]Sheet1'!D49</f>
        <v>317</v>
      </c>
      <c r="N51" s="30">
        <f t="shared" si="19"/>
        <v>622440</v>
      </c>
      <c r="O51" s="29">
        <f t="shared" si="48"/>
        <v>190</v>
      </c>
      <c r="P51" s="29">
        <f t="shared" si="49"/>
        <v>0</v>
      </c>
      <c r="Q51" s="244">
        <f t="shared" si="50"/>
        <v>0</v>
      </c>
      <c r="R51" s="30">
        <f t="shared" si="20"/>
        <v>0</v>
      </c>
      <c r="S51" s="29">
        <f t="shared" si="21"/>
        <v>0</v>
      </c>
      <c r="T51" s="29">
        <f t="shared" si="22"/>
        <v>2988</v>
      </c>
      <c r="U51" s="29">
        <f t="shared" si="23"/>
        <v>11371</v>
      </c>
      <c r="V51" s="30">
        <f t="shared" si="24"/>
        <v>3276</v>
      </c>
      <c r="W51" s="30">
        <f t="shared" si="25"/>
        <v>37251396</v>
      </c>
      <c r="X51" s="33">
        <f>'Table 6 Local Wealth Factor'!L51</f>
        <v>1.03066882</v>
      </c>
      <c r="Y51" s="33">
        <f t="shared" si="26"/>
        <v>0.01176241</v>
      </c>
      <c r="Z51" s="33">
        <f t="shared" si="27"/>
        <v>0.01212315</v>
      </c>
      <c r="AA51" s="30">
        <f t="shared" si="51"/>
        <v>13437854</v>
      </c>
      <c r="AB51" s="34">
        <f t="shared" si="28"/>
        <v>0.3607</v>
      </c>
      <c r="AC51" s="340">
        <f t="shared" si="29"/>
        <v>23813542</v>
      </c>
      <c r="AD51" s="34">
        <f t="shared" si="30"/>
        <v>0.6393</v>
      </c>
      <c r="AE51" s="645">
        <f>'Table 7 Local Revenue'!AL50</f>
        <v>25142250.5</v>
      </c>
      <c r="AF51" s="30">
        <f t="shared" si="31"/>
        <v>11704396.5</v>
      </c>
      <c r="AG51" s="37">
        <f t="shared" si="32"/>
        <v>0</v>
      </c>
      <c r="AH51" s="30">
        <f t="shared" si="52"/>
        <v>12292961</v>
      </c>
      <c r="AI51" s="35">
        <f t="shared" si="33"/>
        <v>11704396.5</v>
      </c>
      <c r="AJ51" s="340">
        <f t="shared" si="53"/>
        <v>4466383</v>
      </c>
      <c r="AK51" s="34">
        <f t="shared" si="34"/>
        <v>0.3816</v>
      </c>
      <c r="AL51" s="30">
        <f t="shared" si="54"/>
        <v>224595</v>
      </c>
      <c r="AM51" s="30">
        <f t="shared" si="35"/>
        <v>16170779.5</v>
      </c>
      <c r="AN51" s="30">
        <f t="shared" si="36"/>
        <v>28279925</v>
      </c>
      <c r="AO51" s="30">
        <f t="shared" si="55"/>
        <v>3373.49</v>
      </c>
      <c r="AP51" s="30">
        <f>'Table 4 Level 3'!Y49</f>
        <v>0</v>
      </c>
      <c r="AQ51" s="30">
        <f t="shared" si="37"/>
        <v>0</v>
      </c>
      <c r="AR51" s="340">
        <f t="shared" si="38"/>
        <v>28279925</v>
      </c>
      <c r="AS51" s="37">
        <f>AR51-'Table 2 Distribution &amp; Adjusts'!L48</f>
        <v>1880552</v>
      </c>
      <c r="AT51" s="340">
        <f t="shared" si="56"/>
        <v>3373.49</v>
      </c>
      <c r="AU51" s="29">
        <f t="shared" si="39"/>
        <v>52</v>
      </c>
      <c r="AV51" s="34">
        <f t="shared" si="57"/>
        <v>0.5294</v>
      </c>
      <c r="AW51" s="29">
        <f t="shared" si="40"/>
        <v>52</v>
      </c>
      <c r="AX51" s="30">
        <f t="shared" si="41"/>
        <v>25142250.5</v>
      </c>
      <c r="AY51" s="30">
        <f t="shared" si="58"/>
        <v>2999.19</v>
      </c>
      <c r="AZ51" s="29">
        <f t="shared" si="42"/>
        <v>17</v>
      </c>
      <c r="BA51" s="34">
        <f t="shared" si="43"/>
        <v>0.4706</v>
      </c>
      <c r="BB51" s="30">
        <f t="shared" si="59"/>
        <v>53422175.5</v>
      </c>
      <c r="BC51" s="30">
        <f t="shared" si="60"/>
        <v>6372.68</v>
      </c>
      <c r="BD51" s="29">
        <f t="shared" si="44"/>
        <v>22</v>
      </c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</row>
    <row r="52" spans="1:153" s="49" customFormat="1" ht="12.75">
      <c r="A52" s="419">
        <v>45</v>
      </c>
      <c r="B52" s="329" t="s">
        <v>46</v>
      </c>
      <c r="C52" s="43">
        <f>'Table 8 Membership'!U52</f>
        <v>9463</v>
      </c>
      <c r="D52" s="326">
        <v>4101</v>
      </c>
      <c r="E52" s="313">
        <f t="shared" si="16"/>
        <v>2283372</v>
      </c>
      <c r="F52" s="43">
        <f t="shared" si="45"/>
        <v>697</v>
      </c>
      <c r="G52" s="326">
        <f>'[3]Sheet1'!C47</f>
        <v>1868</v>
      </c>
      <c r="H52" s="313">
        <f t="shared" si="17"/>
        <v>304668</v>
      </c>
      <c r="I52" s="43">
        <f t="shared" si="46"/>
        <v>93</v>
      </c>
      <c r="J52" s="326">
        <f>'[1]Sheet1'!C50</f>
        <v>1130</v>
      </c>
      <c r="K52" s="313">
        <f t="shared" si="18"/>
        <v>5552820</v>
      </c>
      <c r="L52" s="43">
        <f t="shared" si="47"/>
        <v>1695</v>
      </c>
      <c r="M52" s="326">
        <f>'[1]Sheet1'!D50</f>
        <v>793</v>
      </c>
      <c r="N52" s="30">
        <f t="shared" si="19"/>
        <v>1559376</v>
      </c>
      <c r="O52" s="43">
        <f t="shared" si="48"/>
        <v>476</v>
      </c>
      <c r="P52" s="43">
        <f t="shared" si="49"/>
        <v>0</v>
      </c>
      <c r="Q52" s="245">
        <f t="shared" si="50"/>
        <v>0</v>
      </c>
      <c r="R52" s="44">
        <f t="shared" si="20"/>
        <v>0</v>
      </c>
      <c r="S52" s="43">
        <f t="shared" si="21"/>
        <v>0</v>
      </c>
      <c r="T52" s="43">
        <f t="shared" si="22"/>
        <v>2961</v>
      </c>
      <c r="U52" s="29">
        <f t="shared" si="23"/>
        <v>12424</v>
      </c>
      <c r="V52" s="44">
        <f t="shared" si="24"/>
        <v>3276</v>
      </c>
      <c r="W52" s="44">
        <f t="shared" si="25"/>
        <v>40701024</v>
      </c>
      <c r="X52" s="46">
        <f>'Table 6 Local Wealth Factor'!L52</f>
        <v>1.81324062</v>
      </c>
      <c r="Y52" s="46">
        <f t="shared" si="26"/>
        <v>0.01285165</v>
      </c>
      <c r="Z52" s="46">
        <f t="shared" si="27"/>
        <v>0.02330313</v>
      </c>
      <c r="AA52" s="44">
        <f t="shared" si="51"/>
        <v>25830255</v>
      </c>
      <c r="AB52" s="47">
        <f t="shared" si="28"/>
        <v>0.6346</v>
      </c>
      <c r="AC52" s="341">
        <f t="shared" si="29"/>
        <v>14870769</v>
      </c>
      <c r="AD52" s="47">
        <f t="shared" si="30"/>
        <v>0.3654</v>
      </c>
      <c r="AE52" s="646">
        <f>'Table 7 Local Revenue'!AL51</f>
        <v>60139246</v>
      </c>
      <c r="AF52" s="44">
        <f t="shared" si="31"/>
        <v>34308991</v>
      </c>
      <c r="AG52" s="55">
        <f t="shared" si="32"/>
        <v>0</v>
      </c>
      <c r="AH52" s="44">
        <f t="shared" si="52"/>
        <v>13431338</v>
      </c>
      <c r="AI52" s="48">
        <f t="shared" si="33"/>
        <v>13431338</v>
      </c>
      <c r="AJ52" s="341">
        <f t="shared" si="53"/>
        <v>0</v>
      </c>
      <c r="AK52" s="47">
        <f t="shared" si="34"/>
        <v>0</v>
      </c>
      <c r="AL52" s="44">
        <f t="shared" si="54"/>
        <v>0</v>
      </c>
      <c r="AM52" s="44">
        <f t="shared" si="35"/>
        <v>13431338</v>
      </c>
      <c r="AN52" s="44">
        <f t="shared" si="36"/>
        <v>14870769</v>
      </c>
      <c r="AO52" s="44">
        <f t="shared" si="55"/>
        <v>1571.46</v>
      </c>
      <c r="AP52" s="44">
        <f>'Table 4 Level 3'!Y50</f>
        <v>9557630</v>
      </c>
      <c r="AQ52" s="44">
        <f t="shared" si="37"/>
        <v>1010</v>
      </c>
      <c r="AR52" s="341">
        <f t="shared" si="38"/>
        <v>24428399</v>
      </c>
      <c r="AS52" s="55">
        <f>AR52-'Table 2 Distribution &amp; Adjusts'!L49</f>
        <v>765724</v>
      </c>
      <c r="AT52" s="341">
        <f t="shared" si="56"/>
        <v>2581.46</v>
      </c>
      <c r="AU52" s="43">
        <f t="shared" si="39"/>
        <v>62</v>
      </c>
      <c r="AV52" s="47">
        <f t="shared" si="57"/>
        <v>0.3836</v>
      </c>
      <c r="AW52" s="43">
        <f t="shared" si="40"/>
        <v>63</v>
      </c>
      <c r="AX52" s="44">
        <f t="shared" si="41"/>
        <v>39261593</v>
      </c>
      <c r="AY52" s="44">
        <f t="shared" si="58"/>
        <v>4148.96</v>
      </c>
      <c r="AZ52" s="43">
        <f t="shared" si="42"/>
        <v>4</v>
      </c>
      <c r="BA52" s="47">
        <f t="shared" si="43"/>
        <v>0.6164</v>
      </c>
      <c r="BB52" s="44">
        <f t="shared" si="59"/>
        <v>63689992</v>
      </c>
      <c r="BC52" s="44">
        <f t="shared" si="60"/>
        <v>6730.42</v>
      </c>
      <c r="BD52" s="43">
        <f t="shared" si="44"/>
        <v>10</v>
      </c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</row>
    <row r="53" spans="1:153" s="6" customFormat="1" ht="12.75">
      <c r="A53" s="418">
        <v>46</v>
      </c>
      <c r="B53" s="326" t="s">
        <v>47</v>
      </c>
      <c r="C53" s="29">
        <f>'Table 8 Membership'!U53</f>
        <v>1316</v>
      </c>
      <c r="D53" s="326">
        <v>1167</v>
      </c>
      <c r="E53" s="313">
        <f t="shared" si="16"/>
        <v>648648</v>
      </c>
      <c r="F53" s="29">
        <f t="shared" si="45"/>
        <v>198</v>
      </c>
      <c r="G53" s="326">
        <f>'[3]Sheet1'!C48</f>
        <v>692</v>
      </c>
      <c r="H53" s="313">
        <f t="shared" si="17"/>
        <v>114660</v>
      </c>
      <c r="I53" s="29">
        <f t="shared" si="46"/>
        <v>35</v>
      </c>
      <c r="J53" s="326">
        <f>'[1]Sheet1'!C51</f>
        <v>251</v>
      </c>
      <c r="K53" s="313">
        <f t="shared" si="18"/>
        <v>1235052</v>
      </c>
      <c r="L53" s="29">
        <f t="shared" si="47"/>
        <v>377</v>
      </c>
      <c r="M53" s="326">
        <f>'[1]Sheet1'!D51</f>
        <v>3</v>
      </c>
      <c r="N53" s="30">
        <f t="shared" si="19"/>
        <v>6552</v>
      </c>
      <c r="O53" s="29">
        <f t="shared" si="48"/>
        <v>2</v>
      </c>
      <c r="P53" s="29">
        <f t="shared" si="49"/>
        <v>6184</v>
      </c>
      <c r="Q53" s="244">
        <f t="shared" si="50"/>
        <v>0.16491</v>
      </c>
      <c r="R53" s="30">
        <f t="shared" si="20"/>
        <v>710892</v>
      </c>
      <c r="S53" s="29">
        <f t="shared" si="21"/>
        <v>217</v>
      </c>
      <c r="T53" s="29">
        <f t="shared" si="22"/>
        <v>829</v>
      </c>
      <c r="U53" s="104">
        <f t="shared" si="23"/>
        <v>2145</v>
      </c>
      <c r="V53" s="30">
        <f t="shared" si="24"/>
        <v>3276</v>
      </c>
      <c r="W53" s="30">
        <f t="shared" si="25"/>
        <v>7027020</v>
      </c>
      <c r="X53" s="33">
        <f>'Table 6 Local Wealth Factor'!L53</f>
        <v>0.51775942</v>
      </c>
      <c r="Y53" s="33">
        <f t="shared" si="26"/>
        <v>0.00221883</v>
      </c>
      <c r="Z53" s="33">
        <f t="shared" si="27"/>
        <v>0.00114882</v>
      </c>
      <c r="AA53" s="30">
        <f t="shared" si="51"/>
        <v>1273405</v>
      </c>
      <c r="AB53" s="34">
        <f t="shared" si="28"/>
        <v>0.1812</v>
      </c>
      <c r="AC53" s="340">
        <f t="shared" si="29"/>
        <v>5753615</v>
      </c>
      <c r="AD53" s="34">
        <f t="shared" si="30"/>
        <v>0.8188</v>
      </c>
      <c r="AE53" s="645">
        <f>'Table 7 Local Revenue'!AL52</f>
        <v>1475395</v>
      </c>
      <c r="AF53" s="30">
        <f t="shared" si="31"/>
        <v>201990</v>
      </c>
      <c r="AG53" s="37">
        <f t="shared" si="32"/>
        <v>0</v>
      </c>
      <c r="AH53" s="30">
        <f t="shared" si="52"/>
        <v>2318917</v>
      </c>
      <c r="AI53" s="35">
        <f t="shared" si="33"/>
        <v>201990</v>
      </c>
      <c r="AJ53" s="340">
        <f t="shared" si="53"/>
        <v>139241</v>
      </c>
      <c r="AK53" s="34">
        <f t="shared" si="34"/>
        <v>0.6893</v>
      </c>
      <c r="AL53" s="30">
        <f t="shared" si="54"/>
        <v>1459291</v>
      </c>
      <c r="AM53" s="30">
        <f t="shared" si="35"/>
        <v>341231</v>
      </c>
      <c r="AN53" s="30">
        <f t="shared" si="36"/>
        <v>5892856</v>
      </c>
      <c r="AO53" s="30">
        <f t="shared" si="55"/>
        <v>4477.85</v>
      </c>
      <c r="AP53" s="30">
        <f>'Table 4 Level 3'!Y51</f>
        <v>222404</v>
      </c>
      <c r="AQ53" s="30">
        <f t="shared" si="37"/>
        <v>169</v>
      </c>
      <c r="AR53" s="340">
        <f t="shared" si="38"/>
        <v>6115260</v>
      </c>
      <c r="AS53" s="37">
        <f>AR53-'Table 2 Distribution &amp; Adjusts'!L50</f>
        <v>169155</v>
      </c>
      <c r="AT53" s="340">
        <f t="shared" si="56"/>
        <v>4646.85</v>
      </c>
      <c r="AU53" s="29">
        <f t="shared" si="39"/>
        <v>3</v>
      </c>
      <c r="AV53" s="34">
        <f t="shared" si="57"/>
        <v>0.8056</v>
      </c>
      <c r="AW53" s="29">
        <f t="shared" si="40"/>
        <v>6</v>
      </c>
      <c r="AX53" s="30">
        <f t="shared" si="41"/>
        <v>1475395</v>
      </c>
      <c r="AY53" s="30">
        <f t="shared" si="58"/>
        <v>1121.12</v>
      </c>
      <c r="AZ53" s="29">
        <f t="shared" si="42"/>
        <v>61</v>
      </c>
      <c r="BA53" s="34">
        <f t="shared" si="43"/>
        <v>0.1944</v>
      </c>
      <c r="BB53" s="30">
        <f t="shared" si="59"/>
        <v>7590655</v>
      </c>
      <c r="BC53" s="30">
        <f t="shared" si="60"/>
        <v>5767.97</v>
      </c>
      <c r="BD53" s="29">
        <f t="shared" si="44"/>
        <v>44</v>
      </c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</row>
    <row r="54" spans="1:153" s="6" customFormat="1" ht="12.75">
      <c r="A54" s="418">
        <v>47</v>
      </c>
      <c r="B54" s="326" t="s">
        <v>48</v>
      </c>
      <c r="C54" s="29">
        <f>'Table 8 Membership'!U54</f>
        <v>3803</v>
      </c>
      <c r="D54" s="326">
        <v>2574</v>
      </c>
      <c r="E54" s="313">
        <f t="shared" si="16"/>
        <v>1434888</v>
      </c>
      <c r="F54" s="29">
        <f t="shared" si="45"/>
        <v>438</v>
      </c>
      <c r="G54" s="326">
        <f>'[3]Sheet1'!C49</f>
        <v>1298</v>
      </c>
      <c r="H54" s="313">
        <f t="shared" si="17"/>
        <v>212940</v>
      </c>
      <c r="I54" s="29">
        <f t="shared" si="46"/>
        <v>65</v>
      </c>
      <c r="J54" s="326">
        <f>'[1]Sheet1'!C52</f>
        <v>541</v>
      </c>
      <c r="K54" s="313">
        <f t="shared" si="18"/>
        <v>2660112</v>
      </c>
      <c r="L54" s="29">
        <f t="shared" si="47"/>
        <v>812</v>
      </c>
      <c r="M54" s="326">
        <f>'[1]Sheet1'!D52</f>
        <v>71</v>
      </c>
      <c r="N54" s="30">
        <f t="shared" si="19"/>
        <v>140868</v>
      </c>
      <c r="O54" s="29">
        <f t="shared" si="48"/>
        <v>43</v>
      </c>
      <c r="P54" s="29">
        <f t="shared" si="49"/>
        <v>3697</v>
      </c>
      <c r="Q54" s="244">
        <f t="shared" si="50"/>
        <v>0.09859</v>
      </c>
      <c r="R54" s="30">
        <f t="shared" si="20"/>
        <v>1228500</v>
      </c>
      <c r="S54" s="29">
        <f t="shared" si="21"/>
        <v>375</v>
      </c>
      <c r="T54" s="29">
        <f t="shared" si="22"/>
        <v>1733</v>
      </c>
      <c r="U54" s="29">
        <f t="shared" si="23"/>
        <v>5536</v>
      </c>
      <c r="V54" s="30">
        <f t="shared" si="24"/>
        <v>3276</v>
      </c>
      <c r="W54" s="30">
        <f t="shared" si="25"/>
        <v>18135936</v>
      </c>
      <c r="X54" s="33">
        <f>'Table 6 Local Wealth Factor'!L54</f>
        <v>1.7665662</v>
      </c>
      <c r="Y54" s="33">
        <f t="shared" si="26"/>
        <v>0.00572656</v>
      </c>
      <c r="Z54" s="33">
        <f t="shared" si="27"/>
        <v>0.01011635</v>
      </c>
      <c r="AA54" s="30">
        <f t="shared" si="51"/>
        <v>11213425</v>
      </c>
      <c r="AB54" s="34">
        <f t="shared" si="28"/>
        <v>0.6183</v>
      </c>
      <c r="AC54" s="340">
        <f t="shared" si="29"/>
        <v>6922511</v>
      </c>
      <c r="AD54" s="34">
        <f t="shared" si="30"/>
        <v>0.3817</v>
      </c>
      <c r="AE54" s="645">
        <f>'Table 7 Local Revenue'!AL53</f>
        <v>19459130</v>
      </c>
      <c r="AF54" s="30">
        <f t="shared" si="31"/>
        <v>8245705</v>
      </c>
      <c r="AG54" s="37">
        <f t="shared" si="32"/>
        <v>0</v>
      </c>
      <c r="AH54" s="30">
        <f t="shared" si="52"/>
        <v>5984859</v>
      </c>
      <c r="AI54" s="35">
        <f t="shared" si="33"/>
        <v>5984859</v>
      </c>
      <c r="AJ54" s="340">
        <f t="shared" si="53"/>
        <v>0</v>
      </c>
      <c r="AK54" s="34">
        <f t="shared" si="34"/>
        <v>0</v>
      </c>
      <c r="AL54" s="30">
        <f t="shared" si="54"/>
        <v>0</v>
      </c>
      <c r="AM54" s="30">
        <f t="shared" si="35"/>
        <v>5984859</v>
      </c>
      <c r="AN54" s="30">
        <f t="shared" si="36"/>
        <v>6922511</v>
      </c>
      <c r="AO54" s="30">
        <f t="shared" si="55"/>
        <v>1820.28</v>
      </c>
      <c r="AP54" s="30">
        <f>'Table 4 Level 3'!Y52</f>
        <v>2612500</v>
      </c>
      <c r="AQ54" s="30">
        <f t="shared" si="37"/>
        <v>686.96</v>
      </c>
      <c r="AR54" s="340">
        <f t="shared" si="38"/>
        <v>9535011</v>
      </c>
      <c r="AS54" s="37">
        <f>AR54-'Table 2 Distribution &amp; Adjusts'!L51</f>
        <v>-314096</v>
      </c>
      <c r="AT54" s="340">
        <f t="shared" si="56"/>
        <v>2507.23</v>
      </c>
      <c r="AU54" s="29">
        <f t="shared" si="39"/>
        <v>63</v>
      </c>
      <c r="AV54" s="34">
        <f t="shared" si="57"/>
        <v>0.3567</v>
      </c>
      <c r="AW54" s="29">
        <f t="shared" si="40"/>
        <v>64</v>
      </c>
      <c r="AX54" s="30">
        <f t="shared" si="41"/>
        <v>17198284</v>
      </c>
      <c r="AY54" s="30">
        <f t="shared" si="58"/>
        <v>4522.29</v>
      </c>
      <c r="AZ54" s="29">
        <f t="shared" si="42"/>
        <v>3</v>
      </c>
      <c r="BA54" s="34">
        <f t="shared" si="43"/>
        <v>0.6433</v>
      </c>
      <c r="BB54" s="30">
        <f t="shared" si="59"/>
        <v>26733295</v>
      </c>
      <c r="BC54" s="30">
        <f t="shared" si="60"/>
        <v>7029.53</v>
      </c>
      <c r="BD54" s="29">
        <f t="shared" si="44"/>
        <v>8</v>
      </c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</row>
    <row r="55" spans="1:153" s="6" customFormat="1" ht="12.75">
      <c r="A55" s="418">
        <v>48</v>
      </c>
      <c r="B55" s="326" t="s">
        <v>452</v>
      </c>
      <c r="C55" s="29">
        <f>'Table 8 Membership'!U55</f>
        <v>6173</v>
      </c>
      <c r="D55" s="326">
        <v>4894</v>
      </c>
      <c r="E55" s="313">
        <f t="shared" si="16"/>
        <v>2725632</v>
      </c>
      <c r="F55" s="29">
        <f t="shared" si="45"/>
        <v>832</v>
      </c>
      <c r="G55" s="326">
        <f>'[3]Sheet1'!C50</f>
        <v>1491</v>
      </c>
      <c r="H55" s="313">
        <f t="shared" si="17"/>
        <v>245700</v>
      </c>
      <c r="I55" s="29">
        <f t="shared" si="46"/>
        <v>75</v>
      </c>
      <c r="J55" s="326">
        <f>'[1]Sheet1'!C53</f>
        <v>1278</v>
      </c>
      <c r="K55" s="313">
        <f t="shared" si="18"/>
        <v>6280092</v>
      </c>
      <c r="L55" s="29">
        <f t="shared" si="47"/>
        <v>1917</v>
      </c>
      <c r="M55" s="326">
        <f>'[1]Sheet1'!D53</f>
        <v>97</v>
      </c>
      <c r="N55" s="30">
        <f t="shared" si="19"/>
        <v>190008</v>
      </c>
      <c r="O55" s="29">
        <f t="shared" si="48"/>
        <v>58</v>
      </c>
      <c r="P55" s="29">
        <f t="shared" si="49"/>
        <v>1327</v>
      </c>
      <c r="Q55" s="244">
        <f t="shared" si="50"/>
        <v>0.03539</v>
      </c>
      <c r="R55" s="30">
        <f t="shared" si="20"/>
        <v>714168</v>
      </c>
      <c r="S55" s="29">
        <f t="shared" si="21"/>
        <v>218</v>
      </c>
      <c r="T55" s="29">
        <f t="shared" si="22"/>
        <v>3100</v>
      </c>
      <c r="U55" s="29">
        <f t="shared" si="23"/>
        <v>9273</v>
      </c>
      <c r="V55" s="30">
        <f t="shared" si="24"/>
        <v>3276</v>
      </c>
      <c r="W55" s="30">
        <f t="shared" si="25"/>
        <v>30378348</v>
      </c>
      <c r="X55" s="33">
        <f>'Table 6 Local Wealth Factor'!L55</f>
        <v>0.95412792</v>
      </c>
      <c r="Y55" s="33">
        <f t="shared" si="26"/>
        <v>0.00959219</v>
      </c>
      <c r="Z55" s="33">
        <f t="shared" si="27"/>
        <v>0.00915218</v>
      </c>
      <c r="AA55" s="30">
        <f t="shared" si="51"/>
        <v>10144695</v>
      </c>
      <c r="AB55" s="34">
        <f t="shared" si="28"/>
        <v>0.3339</v>
      </c>
      <c r="AC55" s="340">
        <f t="shared" si="29"/>
        <v>20233653</v>
      </c>
      <c r="AD55" s="34">
        <f t="shared" si="30"/>
        <v>0.6661</v>
      </c>
      <c r="AE55" s="645">
        <f>'Table 7 Local Revenue'!AL54</f>
        <v>19733180</v>
      </c>
      <c r="AF55" s="30">
        <f t="shared" si="31"/>
        <v>9588485</v>
      </c>
      <c r="AG55" s="37">
        <f t="shared" si="32"/>
        <v>0</v>
      </c>
      <c r="AH55" s="30">
        <f t="shared" si="52"/>
        <v>10024855</v>
      </c>
      <c r="AI55" s="35">
        <f t="shared" si="33"/>
        <v>9588485</v>
      </c>
      <c r="AJ55" s="340">
        <f t="shared" si="53"/>
        <v>4099300</v>
      </c>
      <c r="AK55" s="34">
        <f t="shared" si="34"/>
        <v>0.4275</v>
      </c>
      <c r="AL55" s="30">
        <f t="shared" si="54"/>
        <v>186559</v>
      </c>
      <c r="AM55" s="30">
        <f t="shared" si="35"/>
        <v>13687785</v>
      </c>
      <c r="AN55" s="30">
        <f t="shared" si="36"/>
        <v>24332953</v>
      </c>
      <c r="AO55" s="30">
        <f t="shared" si="55"/>
        <v>3941.84</v>
      </c>
      <c r="AP55" s="30">
        <f>'Table 4 Level 3'!Y53</f>
        <v>1235016</v>
      </c>
      <c r="AQ55" s="30">
        <f t="shared" si="37"/>
        <v>200.07</v>
      </c>
      <c r="AR55" s="340">
        <f t="shared" si="38"/>
        <v>25567969</v>
      </c>
      <c r="AS55" s="37">
        <f>AR55-'Table 2 Distribution &amp; Adjusts'!L52</f>
        <v>1825433</v>
      </c>
      <c r="AT55" s="340">
        <f t="shared" si="56"/>
        <v>4141.9</v>
      </c>
      <c r="AU55" s="29">
        <f t="shared" si="39"/>
        <v>23</v>
      </c>
      <c r="AV55" s="34">
        <f t="shared" si="57"/>
        <v>0.5644</v>
      </c>
      <c r="AW55" s="29">
        <f t="shared" si="40"/>
        <v>48</v>
      </c>
      <c r="AX55" s="30">
        <f t="shared" si="41"/>
        <v>19733180</v>
      </c>
      <c r="AY55" s="30">
        <f t="shared" si="58"/>
        <v>3196.69</v>
      </c>
      <c r="AZ55" s="29">
        <f t="shared" si="42"/>
        <v>12</v>
      </c>
      <c r="BA55" s="34">
        <f t="shared" si="43"/>
        <v>0.4356</v>
      </c>
      <c r="BB55" s="30">
        <f t="shared" si="59"/>
        <v>45301149</v>
      </c>
      <c r="BC55" s="30">
        <f t="shared" si="60"/>
        <v>7338.6</v>
      </c>
      <c r="BD55" s="29">
        <f t="shared" si="44"/>
        <v>3</v>
      </c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</row>
    <row r="56" spans="1:153" s="6" customFormat="1" ht="12.75">
      <c r="A56" s="418">
        <v>49</v>
      </c>
      <c r="B56" s="326" t="s">
        <v>49</v>
      </c>
      <c r="C56" s="29">
        <f>'Table 8 Membership'!U56</f>
        <v>15331</v>
      </c>
      <c r="D56" s="326">
        <v>11841</v>
      </c>
      <c r="E56" s="313">
        <f t="shared" si="16"/>
        <v>6594588</v>
      </c>
      <c r="F56" s="29">
        <f t="shared" si="45"/>
        <v>2013</v>
      </c>
      <c r="G56" s="326">
        <f>'[3]Sheet1'!C51</f>
        <v>5405</v>
      </c>
      <c r="H56" s="313">
        <f t="shared" si="17"/>
        <v>884520</v>
      </c>
      <c r="I56" s="29">
        <f t="shared" si="46"/>
        <v>270</v>
      </c>
      <c r="J56" s="326">
        <f>'[1]Sheet1'!C54</f>
        <v>2460</v>
      </c>
      <c r="K56" s="313">
        <f t="shared" si="18"/>
        <v>12088440</v>
      </c>
      <c r="L56" s="29">
        <f t="shared" si="47"/>
        <v>3690</v>
      </c>
      <c r="M56" s="326">
        <f>'[1]Sheet1'!D54</f>
        <v>253</v>
      </c>
      <c r="N56" s="30">
        <f t="shared" si="19"/>
        <v>497952</v>
      </c>
      <c r="O56" s="29">
        <f t="shared" si="48"/>
        <v>152</v>
      </c>
      <c r="P56" s="29">
        <f t="shared" si="49"/>
        <v>0</v>
      </c>
      <c r="Q56" s="244">
        <f t="shared" si="50"/>
        <v>0</v>
      </c>
      <c r="R56" s="30">
        <f t="shared" si="20"/>
        <v>0</v>
      </c>
      <c r="S56" s="29">
        <f t="shared" si="21"/>
        <v>0</v>
      </c>
      <c r="T56" s="29">
        <f t="shared" si="22"/>
        <v>6125</v>
      </c>
      <c r="U56" s="29">
        <f t="shared" si="23"/>
        <v>21456</v>
      </c>
      <c r="V56" s="30">
        <f t="shared" si="24"/>
        <v>3276</v>
      </c>
      <c r="W56" s="30">
        <f t="shared" si="25"/>
        <v>70289856</v>
      </c>
      <c r="X56" s="33">
        <f>'Table 6 Local Wealth Factor'!L56</f>
        <v>0.60301288</v>
      </c>
      <c r="Y56" s="33">
        <f t="shared" si="26"/>
        <v>0.02219455</v>
      </c>
      <c r="Z56" s="33">
        <f t="shared" si="27"/>
        <v>0.0133836</v>
      </c>
      <c r="AA56" s="30">
        <f t="shared" si="51"/>
        <v>14834994</v>
      </c>
      <c r="AB56" s="34">
        <f t="shared" si="28"/>
        <v>0.2111</v>
      </c>
      <c r="AC56" s="340">
        <f t="shared" si="29"/>
        <v>55454862</v>
      </c>
      <c r="AD56" s="34">
        <f t="shared" si="30"/>
        <v>0.7889</v>
      </c>
      <c r="AE56" s="645">
        <f>'Table 7 Local Revenue'!AL55</f>
        <v>23141516</v>
      </c>
      <c r="AF56" s="30">
        <f t="shared" si="31"/>
        <v>8306522</v>
      </c>
      <c r="AG56" s="37">
        <f t="shared" si="32"/>
        <v>0</v>
      </c>
      <c r="AH56" s="30">
        <f t="shared" si="52"/>
        <v>23195652</v>
      </c>
      <c r="AI56" s="35">
        <f t="shared" si="33"/>
        <v>8306522</v>
      </c>
      <c r="AJ56" s="340">
        <f t="shared" si="53"/>
        <v>5301158</v>
      </c>
      <c r="AK56" s="34">
        <f t="shared" si="34"/>
        <v>0.6382</v>
      </c>
      <c r="AL56" s="30">
        <f t="shared" si="54"/>
        <v>9502128</v>
      </c>
      <c r="AM56" s="30">
        <f t="shared" si="35"/>
        <v>13607680</v>
      </c>
      <c r="AN56" s="30">
        <f t="shared" si="36"/>
        <v>60756020</v>
      </c>
      <c r="AO56" s="30">
        <f t="shared" si="55"/>
        <v>3962.95</v>
      </c>
      <c r="AP56" s="30">
        <f>'Table 4 Level 3'!Y54</f>
        <v>301021</v>
      </c>
      <c r="AQ56" s="30">
        <f t="shared" si="37"/>
        <v>19.63</v>
      </c>
      <c r="AR56" s="340">
        <f t="shared" si="38"/>
        <v>61057041</v>
      </c>
      <c r="AS56" s="37">
        <f>AR56-'Table 2 Distribution &amp; Adjusts'!L53</f>
        <v>2119219</v>
      </c>
      <c r="AT56" s="340">
        <f t="shared" si="56"/>
        <v>3982.59</v>
      </c>
      <c r="AU56" s="29">
        <f t="shared" si="39"/>
        <v>30</v>
      </c>
      <c r="AV56" s="34">
        <f t="shared" si="57"/>
        <v>0.7252</v>
      </c>
      <c r="AW56" s="29">
        <f t="shared" si="40"/>
        <v>19</v>
      </c>
      <c r="AX56" s="30">
        <f t="shared" si="41"/>
        <v>23141516</v>
      </c>
      <c r="AY56" s="30">
        <f t="shared" si="58"/>
        <v>1509.46</v>
      </c>
      <c r="AZ56" s="29">
        <f t="shared" si="42"/>
        <v>50</v>
      </c>
      <c r="BA56" s="34">
        <f t="shared" si="43"/>
        <v>0.2748</v>
      </c>
      <c r="BB56" s="30">
        <f t="shared" si="59"/>
        <v>84198557</v>
      </c>
      <c r="BC56" s="30">
        <f t="shared" si="60"/>
        <v>5492.05</v>
      </c>
      <c r="BD56" s="29">
        <f t="shared" si="44"/>
        <v>52</v>
      </c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</row>
    <row r="57" spans="1:153" s="49" customFormat="1" ht="12.75">
      <c r="A57" s="419">
        <v>50</v>
      </c>
      <c r="B57" s="329" t="s">
        <v>50</v>
      </c>
      <c r="C57" s="43">
        <f>'Table 8 Membership'!U57</f>
        <v>8374</v>
      </c>
      <c r="D57" s="326">
        <v>5741</v>
      </c>
      <c r="E57" s="313">
        <f t="shared" si="16"/>
        <v>3197376</v>
      </c>
      <c r="F57" s="43">
        <f t="shared" si="45"/>
        <v>976</v>
      </c>
      <c r="G57" s="326">
        <f>'[3]Sheet1'!C52</f>
        <v>2799</v>
      </c>
      <c r="H57" s="313">
        <f t="shared" si="17"/>
        <v>458640</v>
      </c>
      <c r="I57" s="43">
        <f t="shared" si="46"/>
        <v>140</v>
      </c>
      <c r="J57" s="326">
        <f>'[1]Sheet1'!C55</f>
        <v>1305</v>
      </c>
      <c r="K57" s="313">
        <f t="shared" si="18"/>
        <v>6414408</v>
      </c>
      <c r="L57" s="43">
        <f t="shared" si="47"/>
        <v>1958</v>
      </c>
      <c r="M57" s="326">
        <f>'[1]Sheet1'!D55</f>
        <v>81</v>
      </c>
      <c r="N57" s="30">
        <f t="shared" si="19"/>
        <v>160524</v>
      </c>
      <c r="O57" s="43">
        <f t="shared" si="48"/>
        <v>49</v>
      </c>
      <c r="P57" s="43">
        <f t="shared" si="49"/>
        <v>0</v>
      </c>
      <c r="Q57" s="245">
        <f t="shared" si="50"/>
        <v>0</v>
      </c>
      <c r="R57" s="44">
        <f t="shared" si="20"/>
        <v>0</v>
      </c>
      <c r="S57" s="43">
        <f t="shared" si="21"/>
        <v>0</v>
      </c>
      <c r="T57" s="43">
        <f t="shared" si="22"/>
        <v>3123</v>
      </c>
      <c r="U57" s="29">
        <f t="shared" si="23"/>
        <v>11497</v>
      </c>
      <c r="V57" s="44">
        <f t="shared" si="24"/>
        <v>3276</v>
      </c>
      <c r="W57" s="44">
        <f t="shared" si="25"/>
        <v>37664172</v>
      </c>
      <c r="X57" s="46">
        <f>'Table 6 Local Wealth Factor'!L57</f>
        <v>0.54205069</v>
      </c>
      <c r="Y57" s="46">
        <f t="shared" si="26"/>
        <v>0.01189274</v>
      </c>
      <c r="Z57" s="46">
        <f t="shared" si="27"/>
        <v>0.00644647</v>
      </c>
      <c r="AA57" s="44">
        <f t="shared" si="51"/>
        <v>7145562</v>
      </c>
      <c r="AB57" s="47">
        <f t="shared" si="28"/>
        <v>0.1897</v>
      </c>
      <c r="AC57" s="341">
        <f t="shared" si="29"/>
        <v>30518610</v>
      </c>
      <c r="AD57" s="47">
        <f t="shared" si="30"/>
        <v>0.8103</v>
      </c>
      <c r="AE57" s="646">
        <f>'Table 7 Local Revenue'!AL56</f>
        <v>12760493</v>
      </c>
      <c r="AF57" s="44">
        <f t="shared" si="31"/>
        <v>5614931</v>
      </c>
      <c r="AG57" s="55">
        <f t="shared" si="32"/>
        <v>0</v>
      </c>
      <c r="AH57" s="44">
        <f t="shared" si="52"/>
        <v>12429177</v>
      </c>
      <c r="AI57" s="48">
        <f t="shared" si="33"/>
        <v>5614931</v>
      </c>
      <c r="AJ57" s="341">
        <f t="shared" si="53"/>
        <v>3788785</v>
      </c>
      <c r="AK57" s="47">
        <f t="shared" si="34"/>
        <v>0.6748</v>
      </c>
      <c r="AL57" s="44">
        <f t="shared" si="54"/>
        <v>4598046</v>
      </c>
      <c r="AM57" s="44">
        <f t="shared" si="35"/>
        <v>9403716</v>
      </c>
      <c r="AN57" s="44">
        <f t="shared" si="36"/>
        <v>34307395</v>
      </c>
      <c r="AO57" s="44">
        <f t="shared" si="55"/>
        <v>4096.89</v>
      </c>
      <c r="AP57" s="44">
        <f>'Table 4 Level 3'!Y55</f>
        <v>604293</v>
      </c>
      <c r="AQ57" s="44">
        <f t="shared" si="37"/>
        <v>72.16</v>
      </c>
      <c r="AR57" s="341">
        <f t="shared" si="38"/>
        <v>34911688</v>
      </c>
      <c r="AS57" s="55">
        <f>AR57-'Table 2 Distribution &amp; Adjusts'!L54</f>
        <v>1350957</v>
      </c>
      <c r="AT57" s="341">
        <f t="shared" si="56"/>
        <v>4169.06</v>
      </c>
      <c r="AU57" s="43">
        <f t="shared" si="39"/>
        <v>21</v>
      </c>
      <c r="AV57" s="47">
        <f t="shared" si="57"/>
        <v>0.7323</v>
      </c>
      <c r="AW57" s="43">
        <f t="shared" si="40"/>
        <v>16</v>
      </c>
      <c r="AX57" s="44">
        <f t="shared" si="41"/>
        <v>12760493</v>
      </c>
      <c r="AY57" s="44">
        <f t="shared" si="58"/>
        <v>1523.82</v>
      </c>
      <c r="AZ57" s="43">
        <f t="shared" si="42"/>
        <v>48</v>
      </c>
      <c r="BA57" s="47">
        <f t="shared" si="43"/>
        <v>0.2677</v>
      </c>
      <c r="BB57" s="44">
        <f t="shared" si="59"/>
        <v>47672181</v>
      </c>
      <c r="BC57" s="44">
        <f t="shared" si="60"/>
        <v>5692.88</v>
      </c>
      <c r="BD57" s="43">
        <f t="shared" si="44"/>
        <v>46</v>
      </c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</row>
    <row r="58" spans="1:153" s="6" customFormat="1" ht="12.75">
      <c r="A58" s="418">
        <v>51</v>
      </c>
      <c r="B58" s="326" t="s">
        <v>51</v>
      </c>
      <c r="C58" s="29">
        <f>'Table 8 Membership'!U58</f>
        <v>10181</v>
      </c>
      <c r="D58" s="326">
        <v>6778</v>
      </c>
      <c r="E58" s="313">
        <f t="shared" si="16"/>
        <v>3773952</v>
      </c>
      <c r="F58" s="29">
        <f t="shared" si="45"/>
        <v>1152</v>
      </c>
      <c r="G58" s="326">
        <f>'[3]Sheet1'!C53</f>
        <v>1911</v>
      </c>
      <c r="H58" s="313">
        <f t="shared" si="17"/>
        <v>314496</v>
      </c>
      <c r="I58" s="29">
        <f t="shared" si="46"/>
        <v>96</v>
      </c>
      <c r="J58" s="326">
        <f>'[1]Sheet1'!C56</f>
        <v>1656</v>
      </c>
      <c r="K58" s="313">
        <f t="shared" si="18"/>
        <v>8137584</v>
      </c>
      <c r="L58" s="29">
        <f t="shared" si="47"/>
        <v>2484</v>
      </c>
      <c r="M58" s="326">
        <f>'[1]Sheet1'!D56</f>
        <v>207</v>
      </c>
      <c r="N58" s="30">
        <f t="shared" si="19"/>
        <v>406224</v>
      </c>
      <c r="O58" s="29">
        <f t="shared" si="48"/>
        <v>124</v>
      </c>
      <c r="P58" s="29">
        <f t="shared" si="49"/>
        <v>0</v>
      </c>
      <c r="Q58" s="244">
        <f t="shared" si="50"/>
        <v>0</v>
      </c>
      <c r="R58" s="30">
        <f t="shared" si="20"/>
        <v>0</v>
      </c>
      <c r="S58" s="29">
        <f t="shared" si="21"/>
        <v>0</v>
      </c>
      <c r="T58" s="29">
        <f t="shared" si="22"/>
        <v>3856</v>
      </c>
      <c r="U58" s="104">
        <f t="shared" si="23"/>
        <v>14037</v>
      </c>
      <c r="V58" s="30">
        <f t="shared" si="24"/>
        <v>3276</v>
      </c>
      <c r="W58" s="30">
        <f t="shared" si="25"/>
        <v>45985212</v>
      </c>
      <c r="X58" s="33">
        <f>'Table 6 Local Wealth Factor'!L58</f>
        <v>0.87558118</v>
      </c>
      <c r="Y58" s="33">
        <f t="shared" si="26"/>
        <v>0.01452017</v>
      </c>
      <c r="Z58" s="33">
        <f t="shared" si="27"/>
        <v>0.01271359</v>
      </c>
      <c r="AA58" s="30">
        <f t="shared" si="51"/>
        <v>14092325</v>
      </c>
      <c r="AB58" s="34">
        <f t="shared" si="28"/>
        <v>0.3065</v>
      </c>
      <c r="AC58" s="340">
        <f t="shared" si="29"/>
        <v>31892887</v>
      </c>
      <c r="AD58" s="34">
        <f t="shared" si="30"/>
        <v>0.6935</v>
      </c>
      <c r="AE58" s="645">
        <f>'Table 7 Local Revenue'!AL57</f>
        <v>22865720</v>
      </c>
      <c r="AF58" s="30">
        <f t="shared" si="31"/>
        <v>8773395</v>
      </c>
      <c r="AG58" s="37">
        <f t="shared" si="32"/>
        <v>0</v>
      </c>
      <c r="AH58" s="30">
        <f t="shared" si="52"/>
        <v>15175120</v>
      </c>
      <c r="AI58" s="35">
        <f t="shared" si="33"/>
        <v>8773395</v>
      </c>
      <c r="AJ58" s="340">
        <f t="shared" si="53"/>
        <v>4164303</v>
      </c>
      <c r="AK58" s="34">
        <f t="shared" si="34"/>
        <v>0.4747</v>
      </c>
      <c r="AL58" s="30">
        <f t="shared" si="54"/>
        <v>3038587</v>
      </c>
      <c r="AM58" s="30">
        <f t="shared" si="35"/>
        <v>12937698</v>
      </c>
      <c r="AN58" s="30">
        <f t="shared" si="36"/>
        <v>36057190</v>
      </c>
      <c r="AO58" s="30">
        <f t="shared" si="55"/>
        <v>3541.62</v>
      </c>
      <c r="AP58" s="30">
        <f>'Table 4 Level 3'!Y56</f>
        <v>386878</v>
      </c>
      <c r="AQ58" s="30">
        <f t="shared" si="37"/>
        <v>38</v>
      </c>
      <c r="AR58" s="340">
        <f t="shared" si="38"/>
        <v>36444068</v>
      </c>
      <c r="AS58" s="37">
        <f>AR58-'Table 2 Distribution &amp; Adjusts'!L55</f>
        <v>903355</v>
      </c>
      <c r="AT58" s="340">
        <f t="shared" si="56"/>
        <v>3579.62</v>
      </c>
      <c r="AU58" s="29">
        <f t="shared" si="39"/>
        <v>46</v>
      </c>
      <c r="AV58" s="34">
        <f t="shared" si="57"/>
        <v>0.6145</v>
      </c>
      <c r="AW58" s="29">
        <f t="shared" si="40"/>
        <v>41</v>
      </c>
      <c r="AX58" s="30">
        <f t="shared" si="41"/>
        <v>22865720</v>
      </c>
      <c r="AY58" s="30">
        <f t="shared" si="58"/>
        <v>2245.92</v>
      </c>
      <c r="AZ58" s="29">
        <f t="shared" si="42"/>
        <v>28</v>
      </c>
      <c r="BA58" s="34">
        <f t="shared" si="43"/>
        <v>0.3855</v>
      </c>
      <c r="BB58" s="30">
        <f t="shared" si="59"/>
        <v>59309788</v>
      </c>
      <c r="BC58" s="30">
        <f t="shared" si="60"/>
        <v>5825.54</v>
      </c>
      <c r="BD58" s="29">
        <f t="shared" si="44"/>
        <v>43</v>
      </c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</row>
    <row r="59" spans="1:153" s="6" customFormat="1" ht="12.75">
      <c r="A59" s="418">
        <v>52</v>
      </c>
      <c r="B59" s="326" t="s">
        <v>52</v>
      </c>
      <c r="C59" s="29">
        <f>'Table 8 Membership'!U59</f>
        <v>33951</v>
      </c>
      <c r="D59" s="326">
        <v>10133</v>
      </c>
      <c r="E59" s="313">
        <f t="shared" si="16"/>
        <v>5644548</v>
      </c>
      <c r="F59" s="29">
        <f t="shared" si="45"/>
        <v>1723</v>
      </c>
      <c r="G59" s="326">
        <f>'[3]Sheet1'!C54</f>
        <v>5677</v>
      </c>
      <c r="H59" s="313">
        <f t="shared" si="17"/>
        <v>930384</v>
      </c>
      <c r="I59" s="29">
        <f t="shared" si="46"/>
        <v>284</v>
      </c>
      <c r="J59" s="326">
        <f>'[1]Sheet1'!C57</f>
        <v>5811</v>
      </c>
      <c r="K59" s="313">
        <f t="shared" si="18"/>
        <v>28556892</v>
      </c>
      <c r="L59" s="29">
        <f t="shared" si="47"/>
        <v>8717</v>
      </c>
      <c r="M59" s="326">
        <f>'[1]Sheet1'!D57</f>
        <v>2855</v>
      </c>
      <c r="N59" s="30">
        <f t="shared" si="19"/>
        <v>5611788</v>
      </c>
      <c r="O59" s="29">
        <f t="shared" si="48"/>
        <v>1713</v>
      </c>
      <c r="P59" s="29">
        <f t="shared" si="49"/>
        <v>0</v>
      </c>
      <c r="Q59" s="244">
        <f t="shared" si="50"/>
        <v>0</v>
      </c>
      <c r="R59" s="30">
        <f t="shared" si="20"/>
        <v>0</v>
      </c>
      <c r="S59" s="29">
        <f t="shared" si="21"/>
        <v>0</v>
      </c>
      <c r="T59" s="29">
        <f t="shared" si="22"/>
        <v>12437</v>
      </c>
      <c r="U59" s="29">
        <f t="shared" si="23"/>
        <v>46388</v>
      </c>
      <c r="V59" s="30">
        <f t="shared" si="24"/>
        <v>3276</v>
      </c>
      <c r="W59" s="30">
        <f t="shared" si="25"/>
        <v>151967088</v>
      </c>
      <c r="X59" s="33">
        <f>'Table 6 Local Wealth Factor'!L59</f>
        <v>0.82533225</v>
      </c>
      <c r="Y59" s="33">
        <f t="shared" si="26"/>
        <v>0.04798474</v>
      </c>
      <c r="Z59" s="33">
        <f t="shared" si="27"/>
        <v>0.03960335</v>
      </c>
      <c r="AA59" s="30">
        <f t="shared" si="51"/>
        <v>43898165</v>
      </c>
      <c r="AB59" s="34">
        <f t="shared" si="28"/>
        <v>0.2889</v>
      </c>
      <c r="AC59" s="340">
        <f t="shared" si="29"/>
        <v>108068923</v>
      </c>
      <c r="AD59" s="34">
        <f t="shared" si="30"/>
        <v>0.7111</v>
      </c>
      <c r="AE59" s="645">
        <f>'Table 7 Local Revenue'!AL58</f>
        <v>102060054</v>
      </c>
      <c r="AF59" s="30">
        <f t="shared" si="31"/>
        <v>58161889</v>
      </c>
      <c r="AG59" s="37">
        <f t="shared" si="32"/>
        <v>0</v>
      </c>
      <c r="AH59" s="30">
        <f t="shared" si="52"/>
        <v>50149139</v>
      </c>
      <c r="AI59" s="35">
        <f t="shared" si="33"/>
        <v>50149139</v>
      </c>
      <c r="AJ59" s="340">
        <f t="shared" si="53"/>
        <v>25315318</v>
      </c>
      <c r="AK59" s="34">
        <f t="shared" si="34"/>
        <v>0.5048</v>
      </c>
      <c r="AL59" s="30">
        <f t="shared" si="54"/>
        <v>0</v>
      </c>
      <c r="AM59" s="30">
        <f t="shared" si="35"/>
        <v>75464457</v>
      </c>
      <c r="AN59" s="30">
        <f t="shared" si="36"/>
        <v>133384241</v>
      </c>
      <c r="AO59" s="30">
        <f t="shared" si="55"/>
        <v>3928.73</v>
      </c>
      <c r="AP59" s="30">
        <f>'Table 4 Level 3'!Y57</f>
        <v>346863</v>
      </c>
      <c r="AQ59" s="30">
        <f t="shared" si="37"/>
        <v>10.22</v>
      </c>
      <c r="AR59" s="340">
        <f t="shared" si="38"/>
        <v>133731104</v>
      </c>
      <c r="AS59" s="37">
        <f>AR59-'Table 2 Distribution &amp; Adjusts'!L56</f>
        <v>9293274</v>
      </c>
      <c r="AT59" s="340">
        <f t="shared" si="56"/>
        <v>3938.94</v>
      </c>
      <c r="AU59" s="29">
        <f t="shared" si="39"/>
        <v>32</v>
      </c>
      <c r="AV59" s="34">
        <f t="shared" si="57"/>
        <v>0.5871</v>
      </c>
      <c r="AW59" s="29">
        <f t="shared" si="40"/>
        <v>45</v>
      </c>
      <c r="AX59" s="30">
        <f t="shared" si="41"/>
        <v>94047304</v>
      </c>
      <c r="AY59" s="30">
        <f t="shared" si="58"/>
        <v>2770.09</v>
      </c>
      <c r="AZ59" s="29">
        <f t="shared" si="42"/>
        <v>22</v>
      </c>
      <c r="BA59" s="34">
        <f t="shared" si="43"/>
        <v>0.4129</v>
      </c>
      <c r="BB59" s="30">
        <f t="shared" si="59"/>
        <v>227778408</v>
      </c>
      <c r="BC59" s="30">
        <f t="shared" si="60"/>
        <v>6709.03</v>
      </c>
      <c r="BD59" s="29">
        <f t="shared" si="44"/>
        <v>11</v>
      </c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</row>
    <row r="60" spans="1:153" s="6" customFormat="1" ht="12.75">
      <c r="A60" s="418">
        <v>53</v>
      </c>
      <c r="B60" s="326" t="s">
        <v>53</v>
      </c>
      <c r="C60" s="29">
        <f>'Table 8 Membership'!U60</f>
        <v>17656</v>
      </c>
      <c r="D60" s="326">
        <v>11941</v>
      </c>
      <c r="E60" s="313">
        <f t="shared" si="16"/>
        <v>6650280</v>
      </c>
      <c r="F60" s="29">
        <f t="shared" si="45"/>
        <v>2030</v>
      </c>
      <c r="G60" s="326">
        <f>'[3]Sheet1'!C55</f>
        <v>5147</v>
      </c>
      <c r="H60" s="313">
        <f t="shared" si="17"/>
        <v>841932</v>
      </c>
      <c r="I60" s="29">
        <f t="shared" si="46"/>
        <v>257</v>
      </c>
      <c r="J60" s="326">
        <f>'[1]Sheet1'!C58</f>
        <v>2611</v>
      </c>
      <c r="K60" s="313">
        <f t="shared" si="18"/>
        <v>12832092</v>
      </c>
      <c r="L60" s="29">
        <f t="shared" si="47"/>
        <v>3917</v>
      </c>
      <c r="M60" s="326">
        <f>'[1]Sheet1'!D58</f>
        <v>225</v>
      </c>
      <c r="N60" s="30">
        <f t="shared" si="19"/>
        <v>442260</v>
      </c>
      <c r="O60" s="29">
        <f t="shared" si="48"/>
        <v>135</v>
      </c>
      <c r="P60" s="29">
        <f t="shared" si="49"/>
        <v>0</v>
      </c>
      <c r="Q60" s="244">
        <f t="shared" si="50"/>
        <v>0</v>
      </c>
      <c r="R60" s="30">
        <f t="shared" si="20"/>
        <v>0</v>
      </c>
      <c r="S60" s="29">
        <f t="shared" si="21"/>
        <v>0</v>
      </c>
      <c r="T60" s="29">
        <f t="shared" si="22"/>
        <v>6339</v>
      </c>
      <c r="U60" s="29">
        <f t="shared" si="23"/>
        <v>23995</v>
      </c>
      <c r="V60" s="30">
        <f t="shared" si="24"/>
        <v>3276</v>
      </c>
      <c r="W60" s="30">
        <f t="shared" si="25"/>
        <v>78607620</v>
      </c>
      <c r="X60" s="33">
        <f>'Table 6 Local Wealth Factor'!L60</f>
        <v>0.63731279</v>
      </c>
      <c r="Y60" s="33">
        <f t="shared" si="26"/>
        <v>0.02482094</v>
      </c>
      <c r="Z60" s="33">
        <f t="shared" si="27"/>
        <v>0.0158187</v>
      </c>
      <c r="AA60" s="30">
        <f t="shared" si="51"/>
        <v>17534171</v>
      </c>
      <c r="AB60" s="34">
        <f t="shared" si="28"/>
        <v>0.2231</v>
      </c>
      <c r="AC60" s="340">
        <f t="shared" si="29"/>
        <v>61073449</v>
      </c>
      <c r="AD60" s="34">
        <f t="shared" si="30"/>
        <v>0.7769</v>
      </c>
      <c r="AE60" s="645">
        <f>'Table 7 Local Revenue'!AL59</f>
        <v>25697719</v>
      </c>
      <c r="AF60" s="30">
        <f t="shared" si="31"/>
        <v>8163548</v>
      </c>
      <c r="AG60" s="37">
        <f t="shared" si="32"/>
        <v>0</v>
      </c>
      <c r="AH60" s="30">
        <f t="shared" si="52"/>
        <v>25940515</v>
      </c>
      <c r="AI60" s="35">
        <f t="shared" si="33"/>
        <v>8163548</v>
      </c>
      <c r="AJ60" s="340">
        <f t="shared" si="53"/>
        <v>5041908</v>
      </c>
      <c r="AK60" s="34">
        <f t="shared" si="34"/>
        <v>0.6176</v>
      </c>
      <c r="AL60" s="30">
        <f t="shared" si="54"/>
        <v>10979274</v>
      </c>
      <c r="AM60" s="30">
        <f t="shared" si="35"/>
        <v>13205456</v>
      </c>
      <c r="AN60" s="30">
        <f t="shared" si="36"/>
        <v>66115357</v>
      </c>
      <c r="AO60" s="30">
        <f t="shared" si="55"/>
        <v>3744.64</v>
      </c>
      <c r="AP60" s="30">
        <f>'Table 4 Level 3'!Y58</f>
        <v>2204395</v>
      </c>
      <c r="AQ60" s="30">
        <f t="shared" si="37"/>
        <v>124.85</v>
      </c>
      <c r="AR60" s="340">
        <f t="shared" si="38"/>
        <v>68319752</v>
      </c>
      <c r="AS60" s="37">
        <f>AR60-'Table 2 Distribution &amp; Adjusts'!L57</f>
        <v>1825580</v>
      </c>
      <c r="AT60" s="340">
        <f t="shared" si="56"/>
        <v>3869.49</v>
      </c>
      <c r="AU60" s="29">
        <f t="shared" si="39"/>
        <v>35</v>
      </c>
      <c r="AV60" s="34">
        <f t="shared" si="57"/>
        <v>0.7267</v>
      </c>
      <c r="AW60" s="29">
        <f t="shared" si="40"/>
        <v>18</v>
      </c>
      <c r="AX60" s="30">
        <f t="shared" si="41"/>
        <v>25697719</v>
      </c>
      <c r="AY60" s="30">
        <f t="shared" si="58"/>
        <v>1455.47</v>
      </c>
      <c r="AZ60" s="29">
        <f t="shared" si="42"/>
        <v>51</v>
      </c>
      <c r="BA60" s="34">
        <f t="shared" si="43"/>
        <v>0.2733</v>
      </c>
      <c r="BB60" s="30">
        <f t="shared" si="59"/>
        <v>94017471</v>
      </c>
      <c r="BC60" s="30">
        <f t="shared" si="60"/>
        <v>5324.96</v>
      </c>
      <c r="BD60" s="29">
        <f t="shared" si="44"/>
        <v>57</v>
      </c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</row>
    <row r="61" spans="1:153" s="6" customFormat="1" ht="12.75">
      <c r="A61" s="418">
        <v>54</v>
      </c>
      <c r="B61" s="326" t="s">
        <v>54</v>
      </c>
      <c r="C61" s="29">
        <f>'Table 8 Membership'!U61</f>
        <v>922</v>
      </c>
      <c r="D61" s="326">
        <v>707</v>
      </c>
      <c r="E61" s="313">
        <f t="shared" si="16"/>
        <v>393120</v>
      </c>
      <c r="F61" s="29">
        <f t="shared" si="45"/>
        <v>120</v>
      </c>
      <c r="G61" s="326">
        <f>'[3]Sheet1'!C56</f>
        <v>376</v>
      </c>
      <c r="H61" s="313">
        <f t="shared" si="17"/>
        <v>62244</v>
      </c>
      <c r="I61" s="29">
        <f t="shared" si="46"/>
        <v>19</v>
      </c>
      <c r="J61" s="326">
        <f>'[1]Sheet1'!C59</f>
        <v>209</v>
      </c>
      <c r="K61" s="313">
        <f t="shared" si="18"/>
        <v>1028664</v>
      </c>
      <c r="L61" s="29">
        <f t="shared" si="47"/>
        <v>314</v>
      </c>
      <c r="M61" s="326">
        <f>'[1]Sheet1'!D59</f>
        <v>53</v>
      </c>
      <c r="N61" s="30">
        <f t="shared" si="19"/>
        <v>104832</v>
      </c>
      <c r="O61" s="29">
        <f t="shared" si="48"/>
        <v>32</v>
      </c>
      <c r="P61" s="29">
        <f t="shared" si="49"/>
        <v>6578</v>
      </c>
      <c r="Q61" s="244">
        <f t="shared" si="50"/>
        <v>0.17541</v>
      </c>
      <c r="R61" s="30">
        <f t="shared" si="20"/>
        <v>530712</v>
      </c>
      <c r="S61" s="29">
        <f t="shared" si="21"/>
        <v>162</v>
      </c>
      <c r="T61" s="29">
        <f t="shared" si="22"/>
        <v>647</v>
      </c>
      <c r="U61" s="29">
        <f t="shared" si="23"/>
        <v>1569</v>
      </c>
      <c r="V61" s="30">
        <f t="shared" si="24"/>
        <v>3276</v>
      </c>
      <c r="W61" s="30">
        <f t="shared" si="25"/>
        <v>5140044</v>
      </c>
      <c r="X61" s="33">
        <f>'Table 6 Local Wealth Factor'!L61</f>
        <v>0.78375987</v>
      </c>
      <c r="Y61" s="33">
        <f t="shared" si="26"/>
        <v>0.00162301</v>
      </c>
      <c r="Z61" s="33">
        <f t="shared" si="27"/>
        <v>0.00127205</v>
      </c>
      <c r="AA61" s="30">
        <f t="shared" si="51"/>
        <v>1409998</v>
      </c>
      <c r="AB61" s="34">
        <f t="shared" si="28"/>
        <v>0.2743</v>
      </c>
      <c r="AC61" s="340">
        <f t="shared" si="29"/>
        <v>3730046</v>
      </c>
      <c r="AD61" s="34">
        <f t="shared" si="30"/>
        <v>0.7257</v>
      </c>
      <c r="AE61" s="645">
        <f>'Table 7 Local Revenue'!AL60</f>
        <v>1829726.5</v>
      </c>
      <c r="AF61" s="30">
        <f t="shared" si="31"/>
        <v>419728.5</v>
      </c>
      <c r="AG61" s="37">
        <f t="shared" si="32"/>
        <v>0</v>
      </c>
      <c r="AH61" s="30">
        <f t="shared" si="52"/>
        <v>1696215</v>
      </c>
      <c r="AI61" s="35">
        <f t="shared" si="33"/>
        <v>419728.5</v>
      </c>
      <c r="AJ61" s="340">
        <f t="shared" si="53"/>
        <v>222349</v>
      </c>
      <c r="AK61" s="34">
        <f t="shared" si="34"/>
        <v>0.5297</v>
      </c>
      <c r="AL61" s="30">
        <f t="shared" si="54"/>
        <v>676211</v>
      </c>
      <c r="AM61" s="30">
        <f t="shared" si="35"/>
        <v>642077.5</v>
      </c>
      <c r="AN61" s="30">
        <f t="shared" si="36"/>
        <v>3952395</v>
      </c>
      <c r="AO61" s="30">
        <f t="shared" si="55"/>
        <v>4286.76</v>
      </c>
      <c r="AP61" s="30">
        <f>'Table 4 Level 3'!Y59</f>
        <v>173934</v>
      </c>
      <c r="AQ61" s="30">
        <f t="shared" si="37"/>
        <v>188.65</v>
      </c>
      <c r="AR61" s="340">
        <f t="shared" si="38"/>
        <v>4126329</v>
      </c>
      <c r="AS61" s="37">
        <f>AR61-'Table 2 Distribution &amp; Adjusts'!L58</f>
        <v>-122563</v>
      </c>
      <c r="AT61" s="340">
        <f t="shared" si="56"/>
        <v>4475.41</v>
      </c>
      <c r="AU61" s="29">
        <f t="shared" si="39"/>
        <v>6</v>
      </c>
      <c r="AV61" s="34">
        <f t="shared" si="57"/>
        <v>0.6928</v>
      </c>
      <c r="AW61" s="29">
        <f t="shared" si="40"/>
        <v>29</v>
      </c>
      <c r="AX61" s="30">
        <f t="shared" si="41"/>
        <v>1829726.5</v>
      </c>
      <c r="AY61" s="30">
        <f t="shared" si="58"/>
        <v>1984.52</v>
      </c>
      <c r="AZ61" s="29">
        <f t="shared" si="42"/>
        <v>34</v>
      </c>
      <c r="BA61" s="34">
        <f t="shared" si="43"/>
        <v>0.3072</v>
      </c>
      <c r="BB61" s="30">
        <f t="shared" si="59"/>
        <v>5956055.5</v>
      </c>
      <c r="BC61" s="30">
        <f t="shared" si="60"/>
        <v>6459.93</v>
      </c>
      <c r="BD61" s="29">
        <f t="shared" si="44"/>
        <v>17</v>
      </c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</row>
    <row r="62" spans="1:153" s="49" customFormat="1" ht="12.75">
      <c r="A62" s="419">
        <v>55</v>
      </c>
      <c r="B62" s="329" t="s">
        <v>55</v>
      </c>
      <c r="C62" s="43">
        <f>'Table 8 Membership'!U62</f>
        <v>19274</v>
      </c>
      <c r="D62" s="326">
        <v>11313</v>
      </c>
      <c r="E62" s="313">
        <f t="shared" si="16"/>
        <v>6299748</v>
      </c>
      <c r="F62" s="43">
        <f t="shared" si="45"/>
        <v>1923</v>
      </c>
      <c r="G62" s="326">
        <f>'[3]Sheet1'!C57</f>
        <v>6767</v>
      </c>
      <c r="H62" s="313">
        <f t="shared" si="17"/>
        <v>1107288</v>
      </c>
      <c r="I62" s="43">
        <f t="shared" si="46"/>
        <v>338</v>
      </c>
      <c r="J62" s="326">
        <f>'[1]Sheet1'!C60</f>
        <v>3096</v>
      </c>
      <c r="K62" s="313">
        <f t="shared" si="18"/>
        <v>15213744</v>
      </c>
      <c r="L62" s="43">
        <f t="shared" si="47"/>
        <v>4644</v>
      </c>
      <c r="M62" s="326">
        <f>'[1]Sheet1'!D60</f>
        <v>720</v>
      </c>
      <c r="N62" s="30">
        <f t="shared" si="19"/>
        <v>1415232</v>
      </c>
      <c r="O62" s="43">
        <f t="shared" si="48"/>
        <v>432</v>
      </c>
      <c r="P62" s="43">
        <f t="shared" si="49"/>
        <v>0</v>
      </c>
      <c r="Q62" s="245">
        <f t="shared" si="50"/>
        <v>0</v>
      </c>
      <c r="R62" s="44">
        <f t="shared" si="20"/>
        <v>0</v>
      </c>
      <c r="S62" s="43">
        <f t="shared" si="21"/>
        <v>0</v>
      </c>
      <c r="T62" s="43">
        <f t="shared" si="22"/>
        <v>7337</v>
      </c>
      <c r="U62" s="29">
        <f t="shared" si="23"/>
        <v>26611</v>
      </c>
      <c r="V62" s="44">
        <f t="shared" si="24"/>
        <v>3276</v>
      </c>
      <c r="W62" s="44">
        <f t="shared" si="25"/>
        <v>87177636</v>
      </c>
      <c r="X62" s="46">
        <f>'Table 6 Local Wealth Factor'!L62</f>
        <v>0.89544417</v>
      </c>
      <c r="Y62" s="46">
        <f t="shared" si="26"/>
        <v>0.02752699</v>
      </c>
      <c r="Z62" s="46">
        <f t="shared" si="27"/>
        <v>0.02464888</v>
      </c>
      <c r="AA62" s="44">
        <f t="shared" si="51"/>
        <v>27321946</v>
      </c>
      <c r="AB62" s="47">
        <f t="shared" si="28"/>
        <v>0.3134</v>
      </c>
      <c r="AC62" s="341">
        <f t="shared" si="29"/>
        <v>59855690</v>
      </c>
      <c r="AD62" s="47">
        <f t="shared" si="30"/>
        <v>0.6866</v>
      </c>
      <c r="AE62" s="646">
        <f>'Table 7 Local Revenue'!AL61</f>
        <v>37460954</v>
      </c>
      <c r="AF62" s="44">
        <f t="shared" si="31"/>
        <v>10139008</v>
      </c>
      <c r="AG62" s="55">
        <f t="shared" si="32"/>
        <v>0</v>
      </c>
      <c r="AH62" s="44">
        <f t="shared" si="52"/>
        <v>28768620</v>
      </c>
      <c r="AI62" s="48">
        <f t="shared" si="33"/>
        <v>10139008</v>
      </c>
      <c r="AJ62" s="341">
        <f t="shared" si="53"/>
        <v>4691659</v>
      </c>
      <c r="AK62" s="47">
        <f t="shared" si="34"/>
        <v>0.4627</v>
      </c>
      <c r="AL62" s="44">
        <f t="shared" si="54"/>
        <v>8620545</v>
      </c>
      <c r="AM62" s="44">
        <f t="shared" si="35"/>
        <v>14830667</v>
      </c>
      <c r="AN62" s="44">
        <f t="shared" si="36"/>
        <v>64547349</v>
      </c>
      <c r="AO62" s="44">
        <f t="shared" si="55"/>
        <v>3348.93</v>
      </c>
      <c r="AP62" s="44">
        <f>'Table 4 Level 3'!Y60</f>
        <v>2906151</v>
      </c>
      <c r="AQ62" s="44">
        <f t="shared" si="37"/>
        <v>150.78</v>
      </c>
      <c r="AR62" s="341">
        <f t="shared" si="38"/>
        <v>67453500</v>
      </c>
      <c r="AS62" s="55">
        <f>AR62-'Table 2 Distribution &amp; Adjusts'!L59</f>
        <v>260866</v>
      </c>
      <c r="AT62" s="341">
        <f t="shared" si="56"/>
        <v>3499.71</v>
      </c>
      <c r="AU62" s="43">
        <f t="shared" si="39"/>
        <v>48</v>
      </c>
      <c r="AV62" s="47">
        <f t="shared" si="57"/>
        <v>0.6429</v>
      </c>
      <c r="AW62" s="43">
        <f t="shared" si="40"/>
        <v>38</v>
      </c>
      <c r="AX62" s="44">
        <f t="shared" si="41"/>
        <v>37460954</v>
      </c>
      <c r="AY62" s="44">
        <f t="shared" si="58"/>
        <v>1943.6</v>
      </c>
      <c r="AZ62" s="43">
        <f t="shared" si="42"/>
        <v>35</v>
      </c>
      <c r="BA62" s="47">
        <f t="shared" si="43"/>
        <v>0.3571</v>
      </c>
      <c r="BB62" s="44">
        <f t="shared" si="59"/>
        <v>104914454</v>
      </c>
      <c r="BC62" s="44">
        <f t="shared" si="60"/>
        <v>5443.32</v>
      </c>
      <c r="BD62" s="43">
        <f t="shared" si="44"/>
        <v>53</v>
      </c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</row>
    <row r="63" spans="1:153" s="6" customFormat="1" ht="12.75">
      <c r="A63" s="418">
        <v>56</v>
      </c>
      <c r="B63" s="326" t="s">
        <v>56</v>
      </c>
      <c r="C63" s="29">
        <f>'Table 8 Membership'!U63</f>
        <v>3429</v>
      </c>
      <c r="D63" s="326">
        <v>2228</v>
      </c>
      <c r="E63" s="313">
        <f t="shared" si="16"/>
        <v>1241604</v>
      </c>
      <c r="F63" s="29">
        <f t="shared" si="45"/>
        <v>379</v>
      </c>
      <c r="G63" s="326">
        <f>'[3]Sheet1'!C58</f>
        <v>1052</v>
      </c>
      <c r="H63" s="313">
        <f t="shared" si="17"/>
        <v>173628</v>
      </c>
      <c r="I63" s="29">
        <f t="shared" si="46"/>
        <v>53</v>
      </c>
      <c r="J63" s="326">
        <f>'[1]Sheet1'!C61</f>
        <v>459</v>
      </c>
      <c r="K63" s="313">
        <f t="shared" si="18"/>
        <v>2257164</v>
      </c>
      <c r="L63" s="29">
        <f t="shared" si="47"/>
        <v>689</v>
      </c>
      <c r="M63" s="326">
        <f>'[1]Sheet1'!D61</f>
        <v>16</v>
      </c>
      <c r="N63" s="30">
        <f t="shared" si="19"/>
        <v>32760</v>
      </c>
      <c r="O63" s="29">
        <f t="shared" si="48"/>
        <v>10</v>
      </c>
      <c r="P63" s="29">
        <f t="shared" si="49"/>
        <v>4071</v>
      </c>
      <c r="Q63" s="244">
        <f t="shared" si="50"/>
        <v>0.10856</v>
      </c>
      <c r="R63" s="30">
        <f t="shared" si="20"/>
        <v>1218672</v>
      </c>
      <c r="S63" s="29">
        <f t="shared" si="21"/>
        <v>372</v>
      </c>
      <c r="T63" s="29">
        <f t="shared" si="22"/>
        <v>1503</v>
      </c>
      <c r="U63" s="104">
        <f t="shared" si="23"/>
        <v>4932</v>
      </c>
      <c r="V63" s="30">
        <f t="shared" si="24"/>
        <v>3276</v>
      </c>
      <c r="W63" s="30">
        <f t="shared" si="25"/>
        <v>16157232</v>
      </c>
      <c r="X63" s="33">
        <f>'Table 6 Local Wealth Factor'!L63</f>
        <v>0.69280263</v>
      </c>
      <c r="Y63" s="33">
        <f t="shared" si="26"/>
        <v>0.00510177</v>
      </c>
      <c r="Z63" s="33">
        <f t="shared" si="27"/>
        <v>0.00353452</v>
      </c>
      <c r="AA63" s="30">
        <f t="shared" si="51"/>
        <v>3917824</v>
      </c>
      <c r="AB63" s="34">
        <f t="shared" si="28"/>
        <v>0.2425</v>
      </c>
      <c r="AC63" s="340">
        <f t="shared" si="29"/>
        <v>12239408</v>
      </c>
      <c r="AD63" s="34">
        <f t="shared" si="30"/>
        <v>0.7575</v>
      </c>
      <c r="AE63" s="645">
        <f>'Table 7 Local Revenue'!AL62</f>
        <v>4974366</v>
      </c>
      <c r="AF63" s="30">
        <f t="shared" si="31"/>
        <v>1056542</v>
      </c>
      <c r="AG63" s="37">
        <f t="shared" si="32"/>
        <v>0</v>
      </c>
      <c r="AH63" s="30">
        <f t="shared" si="52"/>
        <v>5331887</v>
      </c>
      <c r="AI63" s="35">
        <f t="shared" si="33"/>
        <v>1056542</v>
      </c>
      <c r="AJ63" s="340">
        <f t="shared" si="53"/>
        <v>617357</v>
      </c>
      <c r="AK63" s="34">
        <f t="shared" si="34"/>
        <v>0.5843</v>
      </c>
      <c r="AL63" s="30">
        <f t="shared" si="54"/>
        <v>2498163</v>
      </c>
      <c r="AM63" s="30">
        <f t="shared" si="35"/>
        <v>1673899</v>
      </c>
      <c r="AN63" s="30">
        <f t="shared" si="36"/>
        <v>12856765</v>
      </c>
      <c r="AO63" s="30">
        <f t="shared" si="55"/>
        <v>3749.42</v>
      </c>
      <c r="AP63" s="30">
        <f>'Table 4 Level 3'!Y61</f>
        <v>0</v>
      </c>
      <c r="AQ63" s="30">
        <f t="shared" si="37"/>
        <v>0</v>
      </c>
      <c r="AR63" s="340">
        <f t="shared" si="38"/>
        <v>12856765</v>
      </c>
      <c r="AS63" s="37">
        <f>AR63-'Table 2 Distribution &amp; Adjusts'!L60</f>
        <v>803188</v>
      </c>
      <c r="AT63" s="340">
        <f t="shared" si="56"/>
        <v>3749.42</v>
      </c>
      <c r="AU63" s="29">
        <f t="shared" si="39"/>
        <v>39</v>
      </c>
      <c r="AV63" s="34">
        <f t="shared" si="57"/>
        <v>0.721</v>
      </c>
      <c r="AW63" s="29">
        <f t="shared" si="40"/>
        <v>20</v>
      </c>
      <c r="AX63" s="30">
        <f t="shared" si="41"/>
        <v>4974366</v>
      </c>
      <c r="AY63" s="30">
        <f t="shared" si="58"/>
        <v>1450.68</v>
      </c>
      <c r="AZ63" s="29">
        <f t="shared" si="42"/>
        <v>53</v>
      </c>
      <c r="BA63" s="34">
        <f t="shared" si="43"/>
        <v>0.279</v>
      </c>
      <c r="BB63" s="30">
        <f t="shared" si="59"/>
        <v>17831131</v>
      </c>
      <c r="BC63" s="30">
        <f t="shared" si="60"/>
        <v>5200.1</v>
      </c>
      <c r="BD63" s="29">
        <f t="shared" si="44"/>
        <v>60</v>
      </c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</row>
    <row r="64" spans="1:153" s="6" customFormat="1" ht="12.75">
      <c r="A64" s="418">
        <v>57</v>
      </c>
      <c r="B64" s="326" t="s">
        <v>57</v>
      </c>
      <c r="C64" s="29">
        <f>'Table 8 Membership'!U64</f>
        <v>8710</v>
      </c>
      <c r="D64" s="326">
        <v>4531</v>
      </c>
      <c r="E64" s="313">
        <f t="shared" si="16"/>
        <v>2522520</v>
      </c>
      <c r="F64" s="29">
        <f t="shared" si="45"/>
        <v>770</v>
      </c>
      <c r="G64" s="326">
        <f>'[3]Sheet1'!C59</f>
        <v>2913</v>
      </c>
      <c r="H64" s="313">
        <f t="shared" si="17"/>
        <v>478296</v>
      </c>
      <c r="I64" s="29">
        <f t="shared" si="46"/>
        <v>146</v>
      </c>
      <c r="J64" s="326">
        <f>'[1]Sheet1'!C62</f>
        <v>1455</v>
      </c>
      <c r="K64" s="313">
        <f t="shared" si="18"/>
        <v>7151508</v>
      </c>
      <c r="L64" s="29">
        <f t="shared" si="47"/>
        <v>2183</v>
      </c>
      <c r="M64" s="326">
        <f>'[1]Sheet1'!D62</f>
        <v>76</v>
      </c>
      <c r="N64" s="30">
        <f t="shared" si="19"/>
        <v>150696</v>
      </c>
      <c r="O64" s="29">
        <f t="shared" si="48"/>
        <v>46</v>
      </c>
      <c r="P64" s="29">
        <f t="shared" si="49"/>
        <v>0</v>
      </c>
      <c r="Q64" s="244">
        <f t="shared" si="50"/>
        <v>0</v>
      </c>
      <c r="R64" s="30">
        <f t="shared" si="20"/>
        <v>0</v>
      </c>
      <c r="S64" s="29">
        <f t="shared" si="21"/>
        <v>0</v>
      </c>
      <c r="T64" s="29">
        <f t="shared" si="22"/>
        <v>3145</v>
      </c>
      <c r="U64" s="29">
        <f t="shared" si="23"/>
        <v>11855</v>
      </c>
      <c r="V64" s="30">
        <f t="shared" si="24"/>
        <v>3276</v>
      </c>
      <c r="W64" s="30">
        <f t="shared" si="25"/>
        <v>38836980</v>
      </c>
      <c r="X64" s="33">
        <f>'Table 6 Local Wealth Factor'!L64</f>
        <v>0.87534459</v>
      </c>
      <c r="Y64" s="33">
        <f t="shared" si="26"/>
        <v>0.01226307</v>
      </c>
      <c r="Z64" s="33">
        <f t="shared" si="27"/>
        <v>0.01073441</v>
      </c>
      <c r="AA64" s="30">
        <f t="shared" si="51"/>
        <v>11898511</v>
      </c>
      <c r="AB64" s="34">
        <f t="shared" si="28"/>
        <v>0.3064</v>
      </c>
      <c r="AC64" s="340">
        <f t="shared" si="29"/>
        <v>26938469</v>
      </c>
      <c r="AD64" s="34">
        <f t="shared" si="30"/>
        <v>0.6936</v>
      </c>
      <c r="AE64" s="645">
        <f>'Table 7 Local Revenue'!AL63</f>
        <v>14895201</v>
      </c>
      <c r="AF64" s="30">
        <f t="shared" si="31"/>
        <v>2996690</v>
      </c>
      <c r="AG64" s="37">
        <f t="shared" si="32"/>
        <v>0</v>
      </c>
      <c r="AH64" s="30">
        <f t="shared" si="52"/>
        <v>12816203</v>
      </c>
      <c r="AI64" s="35">
        <f t="shared" si="33"/>
        <v>2996690</v>
      </c>
      <c r="AJ64" s="340">
        <f t="shared" si="53"/>
        <v>1422808</v>
      </c>
      <c r="AK64" s="34">
        <f t="shared" si="34"/>
        <v>0.4748</v>
      </c>
      <c r="AL64" s="30">
        <f t="shared" si="54"/>
        <v>4662239</v>
      </c>
      <c r="AM64" s="30">
        <f t="shared" si="35"/>
        <v>4419498</v>
      </c>
      <c r="AN64" s="30">
        <f t="shared" si="36"/>
        <v>28361277</v>
      </c>
      <c r="AO64" s="30">
        <f t="shared" si="55"/>
        <v>3256.17</v>
      </c>
      <c r="AP64" s="30">
        <f>'Table 4 Level 3'!Y62</f>
        <v>1411020</v>
      </c>
      <c r="AQ64" s="30">
        <f t="shared" si="37"/>
        <v>162</v>
      </c>
      <c r="AR64" s="340">
        <f t="shared" si="38"/>
        <v>29772297</v>
      </c>
      <c r="AS64" s="37">
        <f>AR64-'Table 2 Distribution &amp; Adjusts'!L61</f>
        <v>1610799</v>
      </c>
      <c r="AT64" s="340">
        <f t="shared" si="56"/>
        <v>3418.17</v>
      </c>
      <c r="AU64" s="29">
        <f t="shared" si="39"/>
        <v>51</v>
      </c>
      <c r="AV64" s="34">
        <f t="shared" si="57"/>
        <v>0.6665</v>
      </c>
      <c r="AW64" s="29">
        <f t="shared" si="40"/>
        <v>34</v>
      </c>
      <c r="AX64" s="30">
        <f t="shared" si="41"/>
        <v>14895201</v>
      </c>
      <c r="AY64" s="30">
        <f t="shared" si="58"/>
        <v>1710.13</v>
      </c>
      <c r="AZ64" s="29">
        <f t="shared" si="42"/>
        <v>44</v>
      </c>
      <c r="BA64" s="34">
        <f t="shared" si="43"/>
        <v>0.3335</v>
      </c>
      <c r="BB64" s="30">
        <f t="shared" si="59"/>
        <v>44667498</v>
      </c>
      <c r="BC64" s="30">
        <f t="shared" si="60"/>
        <v>5128.3</v>
      </c>
      <c r="BD64" s="29">
        <f t="shared" si="44"/>
        <v>61</v>
      </c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</row>
    <row r="65" spans="1:153" s="6" customFormat="1" ht="12.75">
      <c r="A65" s="418">
        <v>58</v>
      </c>
      <c r="B65" s="326" t="s">
        <v>58</v>
      </c>
      <c r="C65" s="29">
        <f>'Table 8 Membership'!U65</f>
        <v>9631</v>
      </c>
      <c r="D65" s="326">
        <v>4938</v>
      </c>
      <c r="E65" s="313">
        <f t="shared" si="16"/>
        <v>2748564</v>
      </c>
      <c r="F65" s="29">
        <f t="shared" si="45"/>
        <v>839</v>
      </c>
      <c r="G65" s="326">
        <f>'[3]Sheet1'!C60</f>
        <v>2420</v>
      </c>
      <c r="H65" s="313">
        <f t="shared" si="17"/>
        <v>396396</v>
      </c>
      <c r="I65" s="29">
        <f t="shared" si="46"/>
        <v>121</v>
      </c>
      <c r="J65" s="326">
        <f>'[1]Sheet1'!C63</f>
        <v>1309</v>
      </c>
      <c r="K65" s="313">
        <f t="shared" si="18"/>
        <v>6434064</v>
      </c>
      <c r="L65" s="29">
        <f t="shared" si="47"/>
        <v>1964</v>
      </c>
      <c r="M65" s="326">
        <f>'[1]Sheet1'!D63</f>
        <v>287</v>
      </c>
      <c r="N65" s="30">
        <f t="shared" si="19"/>
        <v>563472</v>
      </c>
      <c r="O65" s="29">
        <f t="shared" si="48"/>
        <v>172</v>
      </c>
      <c r="P65" s="29">
        <f t="shared" si="49"/>
        <v>0</v>
      </c>
      <c r="Q65" s="244">
        <f t="shared" si="50"/>
        <v>0</v>
      </c>
      <c r="R65" s="30">
        <f t="shared" si="20"/>
        <v>0</v>
      </c>
      <c r="S65" s="29">
        <f t="shared" si="21"/>
        <v>0</v>
      </c>
      <c r="T65" s="29">
        <f t="shared" si="22"/>
        <v>3096</v>
      </c>
      <c r="U65" s="29">
        <f t="shared" si="23"/>
        <v>12727</v>
      </c>
      <c r="V65" s="30">
        <f t="shared" si="24"/>
        <v>3276</v>
      </c>
      <c r="W65" s="30">
        <f t="shared" si="25"/>
        <v>41693652</v>
      </c>
      <c r="X65" s="33">
        <f>'Table 6 Local Wealth Factor'!L65</f>
        <v>0.43499527</v>
      </c>
      <c r="Y65" s="33">
        <f t="shared" si="26"/>
        <v>0.01316508</v>
      </c>
      <c r="Z65" s="33">
        <f t="shared" si="27"/>
        <v>0.00572675</v>
      </c>
      <c r="AA65" s="30">
        <f t="shared" si="51"/>
        <v>6347792</v>
      </c>
      <c r="AB65" s="34">
        <f t="shared" si="28"/>
        <v>0.1522</v>
      </c>
      <c r="AC65" s="340">
        <f t="shared" si="29"/>
        <v>35345860</v>
      </c>
      <c r="AD65" s="34">
        <f t="shared" si="30"/>
        <v>0.8478</v>
      </c>
      <c r="AE65" s="645">
        <f>'Table 7 Local Revenue'!AL64</f>
        <v>11022624</v>
      </c>
      <c r="AF65" s="30">
        <f t="shared" si="31"/>
        <v>4674832</v>
      </c>
      <c r="AG65" s="37">
        <f t="shared" si="32"/>
        <v>0</v>
      </c>
      <c r="AH65" s="30">
        <f t="shared" si="52"/>
        <v>13758905</v>
      </c>
      <c r="AI65" s="35">
        <f t="shared" si="33"/>
        <v>4674832</v>
      </c>
      <c r="AJ65" s="340">
        <f t="shared" si="53"/>
        <v>3454714</v>
      </c>
      <c r="AK65" s="34">
        <f t="shared" si="34"/>
        <v>0.739</v>
      </c>
      <c r="AL65" s="30">
        <f t="shared" si="54"/>
        <v>6713156</v>
      </c>
      <c r="AM65" s="30">
        <f t="shared" si="35"/>
        <v>8129546</v>
      </c>
      <c r="AN65" s="30">
        <f t="shared" si="36"/>
        <v>38800574</v>
      </c>
      <c r="AO65" s="30">
        <f t="shared" si="55"/>
        <v>4028.72</v>
      </c>
      <c r="AP65" s="30">
        <f>'Table 4 Level 3'!Y63</f>
        <v>1576482</v>
      </c>
      <c r="AQ65" s="30">
        <f t="shared" si="37"/>
        <v>163.69</v>
      </c>
      <c r="AR65" s="340">
        <f t="shared" si="38"/>
        <v>40377056</v>
      </c>
      <c r="AS65" s="37">
        <f>AR65-'Table 2 Distribution &amp; Adjusts'!L62</f>
        <v>569846</v>
      </c>
      <c r="AT65" s="340">
        <f t="shared" si="56"/>
        <v>4192.41</v>
      </c>
      <c r="AU65" s="29">
        <f t="shared" si="39"/>
        <v>20</v>
      </c>
      <c r="AV65" s="34">
        <f t="shared" si="57"/>
        <v>0.7856</v>
      </c>
      <c r="AW65" s="29">
        <f t="shared" si="40"/>
        <v>9</v>
      </c>
      <c r="AX65" s="30">
        <f t="shared" si="41"/>
        <v>11022624</v>
      </c>
      <c r="AY65" s="30">
        <f t="shared" si="58"/>
        <v>1144.49</v>
      </c>
      <c r="AZ65" s="29">
        <f t="shared" si="42"/>
        <v>60</v>
      </c>
      <c r="BA65" s="34">
        <f t="shared" si="43"/>
        <v>0.2144</v>
      </c>
      <c r="BB65" s="30">
        <f t="shared" si="59"/>
        <v>51399680</v>
      </c>
      <c r="BC65" s="30">
        <f t="shared" si="60"/>
        <v>5336.9</v>
      </c>
      <c r="BD65" s="29">
        <f t="shared" si="44"/>
        <v>56</v>
      </c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</row>
    <row r="66" spans="1:153" s="6" customFormat="1" ht="12.75">
      <c r="A66" s="418">
        <v>59</v>
      </c>
      <c r="B66" s="326" t="s">
        <v>59</v>
      </c>
      <c r="C66" s="29">
        <f>'Table 8 Membership'!U66</f>
        <v>4530</v>
      </c>
      <c r="D66" s="326">
        <v>3628</v>
      </c>
      <c r="E66" s="313">
        <f t="shared" si="16"/>
        <v>2021292</v>
      </c>
      <c r="F66" s="29">
        <f t="shared" si="45"/>
        <v>617</v>
      </c>
      <c r="G66" s="326">
        <f>'[3]Sheet1'!C61</f>
        <v>1431</v>
      </c>
      <c r="H66" s="313">
        <f t="shared" si="17"/>
        <v>235872</v>
      </c>
      <c r="I66" s="29">
        <f t="shared" si="46"/>
        <v>72</v>
      </c>
      <c r="J66" s="326">
        <f>'[1]Sheet1'!C64</f>
        <v>745</v>
      </c>
      <c r="K66" s="313">
        <f t="shared" si="18"/>
        <v>3662568</v>
      </c>
      <c r="L66" s="29">
        <f t="shared" si="47"/>
        <v>1118</v>
      </c>
      <c r="M66" s="326">
        <f>'[1]Sheet1'!D64</f>
        <v>239</v>
      </c>
      <c r="N66" s="30">
        <f t="shared" si="19"/>
        <v>468468</v>
      </c>
      <c r="O66" s="29">
        <f t="shared" si="48"/>
        <v>143</v>
      </c>
      <c r="P66" s="29">
        <f t="shared" si="49"/>
        <v>2970</v>
      </c>
      <c r="Q66" s="244">
        <f t="shared" si="50"/>
        <v>0.0792</v>
      </c>
      <c r="R66" s="30">
        <f t="shared" si="20"/>
        <v>1176084</v>
      </c>
      <c r="S66" s="29">
        <f t="shared" si="21"/>
        <v>359</v>
      </c>
      <c r="T66" s="29">
        <f t="shared" si="22"/>
        <v>2309</v>
      </c>
      <c r="U66" s="29">
        <f t="shared" si="23"/>
        <v>6839</v>
      </c>
      <c r="V66" s="30">
        <f t="shared" si="24"/>
        <v>3276</v>
      </c>
      <c r="W66" s="30">
        <f t="shared" si="25"/>
        <v>22404564</v>
      </c>
      <c r="X66" s="33">
        <f>'Table 6 Local Wealth Factor'!L66</f>
        <v>0.40325152</v>
      </c>
      <c r="Y66" s="33">
        <f t="shared" si="26"/>
        <v>0.00707441</v>
      </c>
      <c r="Z66" s="33">
        <f t="shared" si="27"/>
        <v>0.00285277</v>
      </c>
      <c r="AA66" s="30">
        <f t="shared" si="51"/>
        <v>3162141</v>
      </c>
      <c r="AB66" s="34">
        <f t="shared" si="28"/>
        <v>0.1411</v>
      </c>
      <c r="AC66" s="340">
        <f t="shared" si="29"/>
        <v>19242423</v>
      </c>
      <c r="AD66" s="34">
        <f t="shared" si="30"/>
        <v>0.8589</v>
      </c>
      <c r="AE66" s="645">
        <f>'Table 7 Local Revenue'!AL65</f>
        <v>5185829</v>
      </c>
      <c r="AF66" s="30">
        <f t="shared" si="31"/>
        <v>2023688</v>
      </c>
      <c r="AG66" s="37">
        <f t="shared" si="32"/>
        <v>0</v>
      </c>
      <c r="AH66" s="30">
        <f t="shared" si="52"/>
        <v>7393506</v>
      </c>
      <c r="AI66" s="35">
        <f t="shared" si="33"/>
        <v>2023688</v>
      </c>
      <c r="AJ66" s="340">
        <f t="shared" si="53"/>
        <v>1534055</v>
      </c>
      <c r="AK66" s="34">
        <f t="shared" si="34"/>
        <v>0.758</v>
      </c>
      <c r="AL66" s="30">
        <f t="shared" si="54"/>
        <v>4070585</v>
      </c>
      <c r="AM66" s="30">
        <f t="shared" si="35"/>
        <v>3557743</v>
      </c>
      <c r="AN66" s="30">
        <f t="shared" si="36"/>
        <v>20776478</v>
      </c>
      <c r="AO66" s="30">
        <f t="shared" si="55"/>
        <v>4586.42</v>
      </c>
      <c r="AP66" s="30">
        <f>'Table 4 Level 3'!Y64</f>
        <v>602490</v>
      </c>
      <c r="AQ66" s="30">
        <f t="shared" si="37"/>
        <v>133</v>
      </c>
      <c r="AR66" s="340">
        <f t="shared" si="38"/>
        <v>21378968</v>
      </c>
      <c r="AS66" s="37">
        <f>AR66-'Table 2 Distribution &amp; Adjusts'!L63</f>
        <v>820672</v>
      </c>
      <c r="AT66" s="340">
        <f t="shared" si="56"/>
        <v>4719.42</v>
      </c>
      <c r="AU66" s="29">
        <f t="shared" si="39"/>
        <v>2</v>
      </c>
      <c r="AV66" s="34">
        <f t="shared" si="57"/>
        <v>0.8048</v>
      </c>
      <c r="AW66" s="29">
        <f t="shared" si="40"/>
        <v>7</v>
      </c>
      <c r="AX66" s="30">
        <f t="shared" si="41"/>
        <v>5185829</v>
      </c>
      <c r="AY66" s="30">
        <f t="shared" si="58"/>
        <v>1144.77</v>
      </c>
      <c r="AZ66" s="29">
        <f t="shared" si="42"/>
        <v>59</v>
      </c>
      <c r="BA66" s="34">
        <f t="shared" si="43"/>
        <v>0.1952</v>
      </c>
      <c r="BB66" s="30">
        <f t="shared" si="59"/>
        <v>26564797</v>
      </c>
      <c r="BC66" s="30">
        <f t="shared" si="60"/>
        <v>5864.19</v>
      </c>
      <c r="BD66" s="29">
        <f t="shared" si="44"/>
        <v>40</v>
      </c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</row>
    <row r="67" spans="1:153" s="49" customFormat="1" ht="12.75">
      <c r="A67" s="419">
        <v>60</v>
      </c>
      <c r="B67" s="329" t="s">
        <v>60</v>
      </c>
      <c r="C67" s="43">
        <f>'Table 8 Membership'!U67</f>
        <v>7516</v>
      </c>
      <c r="D67" s="326">
        <v>4150</v>
      </c>
      <c r="E67" s="313">
        <f t="shared" si="16"/>
        <v>2312856</v>
      </c>
      <c r="F67" s="43">
        <f t="shared" si="45"/>
        <v>706</v>
      </c>
      <c r="G67" s="326">
        <f>'[3]Sheet1'!C62</f>
        <v>2069</v>
      </c>
      <c r="H67" s="313">
        <f t="shared" si="17"/>
        <v>337428</v>
      </c>
      <c r="I67" s="43">
        <f t="shared" si="46"/>
        <v>103</v>
      </c>
      <c r="J67" s="326">
        <f>'[1]Sheet1'!C65</f>
        <v>1038</v>
      </c>
      <c r="K67" s="313">
        <f t="shared" si="18"/>
        <v>5100732</v>
      </c>
      <c r="L67" s="43">
        <f t="shared" si="47"/>
        <v>1557</v>
      </c>
      <c r="M67" s="326">
        <f>'[1]Sheet1'!D65</f>
        <v>123</v>
      </c>
      <c r="N67" s="30">
        <f t="shared" si="19"/>
        <v>242424</v>
      </c>
      <c r="O67" s="43">
        <f t="shared" si="48"/>
        <v>74</v>
      </c>
      <c r="P67" s="43">
        <f t="shared" si="49"/>
        <v>0</v>
      </c>
      <c r="Q67" s="245">
        <f t="shared" si="50"/>
        <v>0</v>
      </c>
      <c r="R67" s="44">
        <f t="shared" si="20"/>
        <v>0</v>
      </c>
      <c r="S67" s="43">
        <f t="shared" si="21"/>
        <v>0</v>
      </c>
      <c r="T67" s="43">
        <f t="shared" si="22"/>
        <v>2440</v>
      </c>
      <c r="U67" s="29">
        <f t="shared" si="23"/>
        <v>9956</v>
      </c>
      <c r="V67" s="44">
        <f t="shared" si="24"/>
        <v>3276</v>
      </c>
      <c r="W67" s="44">
        <f t="shared" si="25"/>
        <v>32615856</v>
      </c>
      <c r="X67" s="46">
        <f>'Table 6 Local Wealth Factor'!L67</f>
        <v>0.70379361</v>
      </c>
      <c r="Y67" s="46">
        <f t="shared" si="26"/>
        <v>0.0102987</v>
      </c>
      <c r="Z67" s="46">
        <f t="shared" si="27"/>
        <v>0.00724816</v>
      </c>
      <c r="AA67" s="44">
        <f t="shared" si="51"/>
        <v>8034192</v>
      </c>
      <c r="AB67" s="47">
        <f t="shared" si="28"/>
        <v>0.2463</v>
      </c>
      <c r="AC67" s="341">
        <f t="shared" si="29"/>
        <v>24581664</v>
      </c>
      <c r="AD67" s="47">
        <f t="shared" si="30"/>
        <v>0.7537</v>
      </c>
      <c r="AE67" s="646">
        <f>'Table 7 Local Revenue'!AL66</f>
        <v>13939755</v>
      </c>
      <c r="AF67" s="44">
        <f t="shared" si="31"/>
        <v>5905563</v>
      </c>
      <c r="AG67" s="55">
        <f t="shared" si="32"/>
        <v>0</v>
      </c>
      <c r="AH67" s="44">
        <f t="shared" si="52"/>
        <v>10763232</v>
      </c>
      <c r="AI67" s="48">
        <f t="shared" si="33"/>
        <v>5905563</v>
      </c>
      <c r="AJ67" s="341">
        <f t="shared" si="53"/>
        <v>3411784</v>
      </c>
      <c r="AK67" s="47">
        <f t="shared" si="34"/>
        <v>0.5777</v>
      </c>
      <c r="AL67" s="44">
        <f t="shared" si="54"/>
        <v>2806392</v>
      </c>
      <c r="AM67" s="44">
        <f t="shared" si="35"/>
        <v>9317347</v>
      </c>
      <c r="AN67" s="44">
        <f t="shared" si="36"/>
        <v>27993448</v>
      </c>
      <c r="AO67" s="44">
        <f t="shared" si="55"/>
        <v>3724.51</v>
      </c>
      <c r="AP67" s="44">
        <f>'Table 4 Level 3'!Y65</f>
        <v>90192</v>
      </c>
      <c r="AQ67" s="44">
        <f t="shared" si="37"/>
        <v>12</v>
      </c>
      <c r="AR67" s="341">
        <f t="shared" si="38"/>
        <v>28083640</v>
      </c>
      <c r="AS67" s="55">
        <f>AR67-'Table 2 Distribution &amp; Adjusts'!L64</f>
        <v>1510823</v>
      </c>
      <c r="AT67" s="341">
        <f t="shared" si="56"/>
        <v>3736.51</v>
      </c>
      <c r="AU67" s="43">
        <f t="shared" si="39"/>
        <v>41</v>
      </c>
      <c r="AV67" s="47">
        <f t="shared" si="57"/>
        <v>0.6683</v>
      </c>
      <c r="AW67" s="43">
        <f t="shared" si="40"/>
        <v>33</v>
      </c>
      <c r="AX67" s="44">
        <f t="shared" si="41"/>
        <v>13939755</v>
      </c>
      <c r="AY67" s="44">
        <f t="shared" si="58"/>
        <v>1854.68</v>
      </c>
      <c r="AZ67" s="43">
        <f t="shared" si="42"/>
        <v>39</v>
      </c>
      <c r="BA67" s="47">
        <f t="shared" si="43"/>
        <v>0.3317</v>
      </c>
      <c r="BB67" s="44">
        <f t="shared" si="59"/>
        <v>42023395</v>
      </c>
      <c r="BC67" s="44">
        <f t="shared" si="60"/>
        <v>5591.19</v>
      </c>
      <c r="BD67" s="43">
        <f t="shared" si="44"/>
        <v>49</v>
      </c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</row>
    <row r="68" spans="1:153" s="6" customFormat="1" ht="12.75">
      <c r="A68" s="418">
        <v>61</v>
      </c>
      <c r="B68" s="326" t="s">
        <v>61</v>
      </c>
      <c r="C68" s="29">
        <f>'Table 8 Membership'!U68</f>
        <v>3510</v>
      </c>
      <c r="D68" s="326">
        <v>2198</v>
      </c>
      <c r="E68" s="313">
        <f t="shared" si="16"/>
        <v>1225224</v>
      </c>
      <c r="F68" s="29">
        <f t="shared" si="45"/>
        <v>374</v>
      </c>
      <c r="G68" s="326">
        <f>'[3]Sheet1'!C63</f>
        <v>935</v>
      </c>
      <c r="H68" s="313">
        <f t="shared" si="17"/>
        <v>153972</v>
      </c>
      <c r="I68" s="29">
        <f t="shared" si="46"/>
        <v>47</v>
      </c>
      <c r="J68" s="326">
        <f>'[1]Sheet1'!C66</f>
        <v>456</v>
      </c>
      <c r="K68" s="313">
        <f t="shared" si="18"/>
        <v>2240784</v>
      </c>
      <c r="L68" s="29">
        <f t="shared" si="47"/>
        <v>684</v>
      </c>
      <c r="M68" s="326">
        <f>'[1]Sheet1'!D66</f>
        <v>158</v>
      </c>
      <c r="N68" s="30">
        <f t="shared" si="19"/>
        <v>311220</v>
      </c>
      <c r="O68" s="29">
        <f t="shared" si="48"/>
        <v>95</v>
      </c>
      <c r="P68" s="29">
        <f t="shared" si="49"/>
        <v>3990</v>
      </c>
      <c r="Q68" s="244">
        <f t="shared" si="50"/>
        <v>0.1064</v>
      </c>
      <c r="R68" s="30">
        <f t="shared" si="20"/>
        <v>1221948</v>
      </c>
      <c r="S68" s="29">
        <f t="shared" si="21"/>
        <v>373</v>
      </c>
      <c r="T68" s="29">
        <f t="shared" si="22"/>
        <v>1573</v>
      </c>
      <c r="U68" s="104">
        <f t="shared" si="23"/>
        <v>5083</v>
      </c>
      <c r="V68" s="30">
        <f t="shared" si="24"/>
        <v>3276</v>
      </c>
      <c r="W68" s="30">
        <f t="shared" si="25"/>
        <v>16651908</v>
      </c>
      <c r="X68" s="33">
        <f>'Table 6 Local Wealth Factor'!L68</f>
        <v>1.41586776</v>
      </c>
      <c r="Y68" s="33">
        <f t="shared" si="26"/>
        <v>0.00525796</v>
      </c>
      <c r="Z68" s="33">
        <f t="shared" si="27"/>
        <v>0.00744458</v>
      </c>
      <c r="AA68" s="30">
        <f t="shared" si="51"/>
        <v>8251913</v>
      </c>
      <c r="AB68" s="34">
        <f t="shared" si="28"/>
        <v>0.4956</v>
      </c>
      <c r="AC68" s="340">
        <f t="shared" si="29"/>
        <v>8399995</v>
      </c>
      <c r="AD68" s="34">
        <f t="shared" si="30"/>
        <v>0.5044</v>
      </c>
      <c r="AE68" s="645">
        <f>'Table 7 Local Revenue'!AL67</f>
        <v>12145304</v>
      </c>
      <c r="AF68" s="30">
        <f t="shared" si="31"/>
        <v>3893391</v>
      </c>
      <c r="AG68" s="37">
        <f t="shared" si="32"/>
        <v>0</v>
      </c>
      <c r="AH68" s="30">
        <f t="shared" si="52"/>
        <v>5495130</v>
      </c>
      <c r="AI68" s="35">
        <f t="shared" si="33"/>
        <v>3893391</v>
      </c>
      <c r="AJ68" s="340">
        <f t="shared" si="53"/>
        <v>585875</v>
      </c>
      <c r="AK68" s="34">
        <f t="shared" si="34"/>
        <v>0.1505</v>
      </c>
      <c r="AL68" s="30">
        <f t="shared" si="54"/>
        <v>241029</v>
      </c>
      <c r="AM68" s="30">
        <f t="shared" si="35"/>
        <v>4479266</v>
      </c>
      <c r="AN68" s="30">
        <f t="shared" si="36"/>
        <v>8985870</v>
      </c>
      <c r="AO68" s="30">
        <f t="shared" si="55"/>
        <v>2560.08</v>
      </c>
      <c r="AP68" s="30">
        <f>'Table 4 Level 3'!Y66</f>
        <v>582660</v>
      </c>
      <c r="AQ68" s="30">
        <f t="shared" si="37"/>
        <v>166</v>
      </c>
      <c r="AR68" s="340">
        <f t="shared" si="38"/>
        <v>9568530</v>
      </c>
      <c r="AS68" s="37">
        <f>AR68-'Table 2 Distribution &amp; Adjusts'!L65</f>
        <v>571147</v>
      </c>
      <c r="AT68" s="340">
        <f t="shared" si="56"/>
        <v>2726.08</v>
      </c>
      <c r="AU68" s="29">
        <f t="shared" si="39"/>
        <v>59</v>
      </c>
      <c r="AV68" s="34">
        <f t="shared" si="57"/>
        <v>0.4407</v>
      </c>
      <c r="AW68" s="29">
        <f t="shared" si="40"/>
        <v>59</v>
      </c>
      <c r="AX68" s="30">
        <f t="shared" si="41"/>
        <v>12145304</v>
      </c>
      <c r="AY68" s="30">
        <f t="shared" si="58"/>
        <v>3460.2</v>
      </c>
      <c r="AZ68" s="29">
        <f t="shared" si="42"/>
        <v>9</v>
      </c>
      <c r="BA68" s="34">
        <f t="shared" si="43"/>
        <v>0.5593</v>
      </c>
      <c r="BB68" s="30">
        <f t="shared" si="59"/>
        <v>21713834</v>
      </c>
      <c r="BC68" s="30">
        <f t="shared" si="60"/>
        <v>6186.28</v>
      </c>
      <c r="BD68" s="29">
        <f t="shared" si="44"/>
        <v>26</v>
      </c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</row>
    <row r="69" spans="1:153" s="6" customFormat="1" ht="12.75">
      <c r="A69" s="418">
        <v>62</v>
      </c>
      <c r="B69" s="326" t="s">
        <v>62</v>
      </c>
      <c r="C69" s="29">
        <f>'Table 8 Membership'!U69</f>
        <v>2382</v>
      </c>
      <c r="D69" s="326">
        <v>1587</v>
      </c>
      <c r="E69" s="313">
        <f t="shared" si="16"/>
        <v>884520</v>
      </c>
      <c r="F69" s="29">
        <f t="shared" si="45"/>
        <v>270</v>
      </c>
      <c r="G69" s="326">
        <f>'[3]Sheet1'!C64</f>
        <v>941</v>
      </c>
      <c r="H69" s="313">
        <f t="shared" si="17"/>
        <v>153972</v>
      </c>
      <c r="I69" s="29">
        <f t="shared" si="46"/>
        <v>47</v>
      </c>
      <c r="J69" s="326">
        <f>'[1]Sheet1'!C67</f>
        <v>291</v>
      </c>
      <c r="K69" s="313">
        <f t="shared" si="18"/>
        <v>1431612</v>
      </c>
      <c r="L69" s="29">
        <f t="shared" si="47"/>
        <v>437</v>
      </c>
      <c r="M69" s="326">
        <f>'[1]Sheet1'!D67</f>
        <v>27</v>
      </c>
      <c r="N69" s="30">
        <f t="shared" si="19"/>
        <v>52416</v>
      </c>
      <c r="O69" s="29">
        <f t="shared" si="48"/>
        <v>16</v>
      </c>
      <c r="P69" s="29">
        <f t="shared" si="49"/>
        <v>5118</v>
      </c>
      <c r="Q69" s="244">
        <f t="shared" si="50"/>
        <v>0.13648</v>
      </c>
      <c r="R69" s="30">
        <f t="shared" si="20"/>
        <v>1064700</v>
      </c>
      <c r="S69" s="29">
        <f t="shared" si="21"/>
        <v>325</v>
      </c>
      <c r="T69" s="29">
        <f t="shared" si="22"/>
        <v>1095</v>
      </c>
      <c r="U69" s="29">
        <f t="shared" si="23"/>
        <v>3477</v>
      </c>
      <c r="V69" s="30">
        <f t="shared" si="24"/>
        <v>3276</v>
      </c>
      <c r="W69" s="30">
        <f t="shared" si="25"/>
        <v>11390652</v>
      </c>
      <c r="X69" s="33">
        <f>'Table 6 Local Wealth Factor'!L69</f>
        <v>0.48946161</v>
      </c>
      <c r="Y69" s="33">
        <f t="shared" si="26"/>
        <v>0.00359668</v>
      </c>
      <c r="Z69" s="33">
        <f t="shared" si="27"/>
        <v>0.00176044</v>
      </c>
      <c r="AA69" s="30">
        <f t="shared" si="51"/>
        <v>1951352</v>
      </c>
      <c r="AB69" s="34">
        <f t="shared" si="28"/>
        <v>0.1713</v>
      </c>
      <c r="AC69" s="340">
        <f t="shared" si="29"/>
        <v>9439300</v>
      </c>
      <c r="AD69" s="34">
        <f t="shared" si="30"/>
        <v>0.8287</v>
      </c>
      <c r="AE69" s="645">
        <f>'Table 7 Local Revenue'!AL68</f>
        <v>1967897</v>
      </c>
      <c r="AF69" s="30">
        <f t="shared" si="31"/>
        <v>16545</v>
      </c>
      <c r="AG69" s="37">
        <f t="shared" si="32"/>
        <v>0</v>
      </c>
      <c r="AH69" s="30">
        <f t="shared" si="52"/>
        <v>3758915</v>
      </c>
      <c r="AI69" s="35">
        <f t="shared" si="33"/>
        <v>16545</v>
      </c>
      <c r="AJ69" s="340">
        <f t="shared" si="53"/>
        <v>11686</v>
      </c>
      <c r="AK69" s="34">
        <f t="shared" si="34"/>
        <v>0.7063</v>
      </c>
      <c r="AL69" s="30">
        <f t="shared" si="54"/>
        <v>2643322</v>
      </c>
      <c r="AM69" s="30">
        <f t="shared" si="35"/>
        <v>28231</v>
      </c>
      <c r="AN69" s="30">
        <f t="shared" si="36"/>
        <v>9450986</v>
      </c>
      <c r="AO69" s="30">
        <f t="shared" si="55"/>
        <v>3967.67</v>
      </c>
      <c r="AP69" s="30">
        <f>'Table 4 Level 3'!Y67</f>
        <v>23820</v>
      </c>
      <c r="AQ69" s="30">
        <f t="shared" si="37"/>
        <v>10</v>
      </c>
      <c r="AR69" s="340">
        <f t="shared" si="38"/>
        <v>9474806</v>
      </c>
      <c r="AS69" s="37">
        <f>AR69-'Table 2 Distribution &amp; Adjusts'!L66</f>
        <v>-132451</v>
      </c>
      <c r="AT69" s="340">
        <f t="shared" si="56"/>
        <v>3977.67</v>
      </c>
      <c r="AU69" s="29">
        <f t="shared" si="39"/>
        <v>31</v>
      </c>
      <c r="AV69" s="34">
        <f t="shared" si="57"/>
        <v>0.828</v>
      </c>
      <c r="AW69" s="29">
        <f t="shared" si="40"/>
        <v>2</v>
      </c>
      <c r="AX69" s="30">
        <f t="shared" si="41"/>
        <v>1967897</v>
      </c>
      <c r="AY69" s="30">
        <f t="shared" si="58"/>
        <v>826.15</v>
      </c>
      <c r="AZ69" s="29">
        <f t="shared" si="42"/>
        <v>65</v>
      </c>
      <c r="BA69" s="34">
        <f t="shared" si="43"/>
        <v>0.172</v>
      </c>
      <c r="BB69" s="30">
        <f t="shared" si="59"/>
        <v>11442703</v>
      </c>
      <c r="BC69" s="30">
        <f t="shared" si="60"/>
        <v>4803.82</v>
      </c>
      <c r="BD69" s="29">
        <f t="shared" si="44"/>
        <v>66</v>
      </c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</row>
    <row r="70" spans="1:153" s="6" customFormat="1" ht="12.75">
      <c r="A70" s="418">
        <v>63</v>
      </c>
      <c r="B70" s="326" t="s">
        <v>63</v>
      </c>
      <c r="C70" s="29">
        <f>'Table 8 Membership'!U70</f>
        <v>2224</v>
      </c>
      <c r="D70" s="326">
        <v>1003</v>
      </c>
      <c r="E70" s="313">
        <f t="shared" si="16"/>
        <v>560196</v>
      </c>
      <c r="F70" s="29">
        <f t="shared" si="45"/>
        <v>171</v>
      </c>
      <c r="G70" s="326">
        <f>'[3]Sheet1'!C65</f>
        <v>450</v>
      </c>
      <c r="H70" s="313">
        <f t="shared" si="17"/>
        <v>75348</v>
      </c>
      <c r="I70" s="29">
        <f t="shared" si="46"/>
        <v>23</v>
      </c>
      <c r="J70" s="326">
        <f>'[1]Sheet1'!C68</f>
        <v>363</v>
      </c>
      <c r="K70" s="313">
        <f t="shared" si="18"/>
        <v>1785420</v>
      </c>
      <c r="L70" s="29">
        <f t="shared" si="47"/>
        <v>545</v>
      </c>
      <c r="M70" s="326">
        <f>'[1]Sheet1'!D68</f>
        <v>150</v>
      </c>
      <c r="N70" s="30">
        <f t="shared" si="19"/>
        <v>294840</v>
      </c>
      <c r="O70" s="29">
        <f t="shared" si="48"/>
        <v>90</v>
      </c>
      <c r="P70" s="29">
        <f t="shared" si="49"/>
        <v>5276</v>
      </c>
      <c r="Q70" s="244">
        <f t="shared" si="50"/>
        <v>0.14069</v>
      </c>
      <c r="R70" s="30">
        <f t="shared" si="20"/>
        <v>1025388</v>
      </c>
      <c r="S70" s="29">
        <f t="shared" si="21"/>
        <v>313</v>
      </c>
      <c r="T70" s="29">
        <f t="shared" si="22"/>
        <v>1142</v>
      </c>
      <c r="U70" s="29">
        <f t="shared" si="23"/>
        <v>3366</v>
      </c>
      <c r="V70" s="30">
        <f t="shared" si="24"/>
        <v>3276</v>
      </c>
      <c r="W70" s="30">
        <f t="shared" si="25"/>
        <v>11027016</v>
      </c>
      <c r="X70" s="33">
        <f>'Table 6 Local Wealth Factor'!L70</f>
        <v>2.19528164</v>
      </c>
      <c r="Y70" s="33">
        <f t="shared" si="26"/>
        <v>0.00348186</v>
      </c>
      <c r="Z70" s="33">
        <f t="shared" si="27"/>
        <v>0.00764366</v>
      </c>
      <c r="AA70" s="30">
        <f t="shared" si="51"/>
        <v>8472582</v>
      </c>
      <c r="AB70" s="34">
        <f t="shared" si="28"/>
        <v>0.7683</v>
      </c>
      <c r="AC70" s="340">
        <f t="shared" si="29"/>
        <v>2554434</v>
      </c>
      <c r="AD70" s="34">
        <f t="shared" si="30"/>
        <v>0.2317</v>
      </c>
      <c r="AE70" s="645">
        <f>'Table 7 Local Revenue'!AL69</f>
        <v>9166142.5</v>
      </c>
      <c r="AF70" s="30">
        <f t="shared" si="31"/>
        <v>693560.5</v>
      </c>
      <c r="AG70" s="37">
        <f t="shared" si="32"/>
        <v>0</v>
      </c>
      <c r="AH70" s="30">
        <f t="shared" si="52"/>
        <v>3638915</v>
      </c>
      <c r="AI70" s="35">
        <f t="shared" si="33"/>
        <v>693560.5</v>
      </c>
      <c r="AJ70" s="340">
        <f t="shared" si="53"/>
        <v>0</v>
      </c>
      <c r="AK70" s="34">
        <f t="shared" si="34"/>
        <v>0</v>
      </c>
      <c r="AL70" s="30">
        <f t="shared" si="54"/>
        <v>0</v>
      </c>
      <c r="AM70" s="30">
        <f t="shared" si="35"/>
        <v>693560.5</v>
      </c>
      <c r="AN70" s="30">
        <f t="shared" si="36"/>
        <v>2554434</v>
      </c>
      <c r="AO70" s="30">
        <f t="shared" si="55"/>
        <v>1148.58</v>
      </c>
      <c r="AP70" s="30">
        <f>'Table 4 Level 3'!Y68</f>
        <v>5908357</v>
      </c>
      <c r="AQ70" s="30">
        <f t="shared" si="37"/>
        <v>2656.64</v>
      </c>
      <c r="AR70" s="340">
        <f t="shared" si="38"/>
        <v>8462791</v>
      </c>
      <c r="AS70" s="37">
        <f>AR70-'Table 2 Distribution &amp; Adjusts'!L67</f>
        <v>1362104</v>
      </c>
      <c r="AT70" s="340">
        <f t="shared" si="56"/>
        <v>3805.21</v>
      </c>
      <c r="AU70" s="29">
        <f t="shared" si="39"/>
        <v>38</v>
      </c>
      <c r="AV70" s="34">
        <f t="shared" si="57"/>
        <v>0.4801</v>
      </c>
      <c r="AW70" s="29">
        <f t="shared" si="40"/>
        <v>54</v>
      </c>
      <c r="AX70" s="30">
        <f t="shared" si="41"/>
        <v>9166142.5</v>
      </c>
      <c r="AY70" s="30">
        <f t="shared" si="58"/>
        <v>4121.47</v>
      </c>
      <c r="AZ70" s="29">
        <f t="shared" si="42"/>
        <v>5</v>
      </c>
      <c r="BA70" s="34">
        <f t="shared" si="43"/>
        <v>0.5199</v>
      </c>
      <c r="BB70" s="30">
        <f t="shared" si="59"/>
        <v>17628933.5</v>
      </c>
      <c r="BC70" s="30">
        <f t="shared" si="60"/>
        <v>7926.68</v>
      </c>
      <c r="BD70" s="29">
        <f t="shared" si="44"/>
        <v>1</v>
      </c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</row>
    <row r="71" spans="1:153" s="6" customFormat="1" ht="12.75">
      <c r="A71" s="418">
        <v>64</v>
      </c>
      <c r="B71" s="326" t="s">
        <v>64</v>
      </c>
      <c r="C71" s="29">
        <f>'Table 8 Membership'!U71</f>
        <v>2779</v>
      </c>
      <c r="D71" s="326">
        <v>1769</v>
      </c>
      <c r="E71" s="313">
        <f t="shared" si="16"/>
        <v>986076</v>
      </c>
      <c r="F71" s="29">
        <f t="shared" si="45"/>
        <v>301</v>
      </c>
      <c r="G71" s="326">
        <f>'[3]Sheet1'!C66</f>
        <v>1336</v>
      </c>
      <c r="H71" s="313">
        <f t="shared" si="17"/>
        <v>219492</v>
      </c>
      <c r="I71" s="29">
        <f t="shared" si="46"/>
        <v>67</v>
      </c>
      <c r="J71" s="326">
        <f>'[1]Sheet1'!C69</f>
        <v>344</v>
      </c>
      <c r="K71" s="313">
        <f t="shared" si="18"/>
        <v>1690416</v>
      </c>
      <c r="L71" s="29">
        <f t="shared" si="47"/>
        <v>516</v>
      </c>
      <c r="M71" s="326">
        <f>'[1]Sheet1'!D69</f>
        <v>80</v>
      </c>
      <c r="N71" s="30">
        <f t="shared" si="19"/>
        <v>157248</v>
      </c>
      <c r="O71" s="29">
        <f t="shared" si="48"/>
        <v>48</v>
      </c>
      <c r="P71" s="29">
        <f t="shared" si="49"/>
        <v>4721</v>
      </c>
      <c r="Q71" s="244">
        <f t="shared" si="50"/>
        <v>0.12589</v>
      </c>
      <c r="R71" s="30">
        <f t="shared" si="20"/>
        <v>1146600</v>
      </c>
      <c r="S71" s="29">
        <f t="shared" si="21"/>
        <v>350</v>
      </c>
      <c r="T71" s="29">
        <f t="shared" si="22"/>
        <v>1282</v>
      </c>
      <c r="U71" s="29">
        <f t="shared" si="23"/>
        <v>4061</v>
      </c>
      <c r="V71" s="30">
        <f t="shared" si="24"/>
        <v>3276</v>
      </c>
      <c r="W71" s="30">
        <f t="shared" si="25"/>
        <v>13303836</v>
      </c>
      <c r="X71" s="33">
        <f>'Table 6 Local Wealth Factor'!L71</f>
        <v>0.65721692</v>
      </c>
      <c r="Y71" s="33">
        <f t="shared" si="26"/>
        <v>0.00420079</v>
      </c>
      <c r="Z71" s="33">
        <f t="shared" si="27"/>
        <v>0.00276083</v>
      </c>
      <c r="AA71" s="30">
        <f t="shared" si="51"/>
        <v>3060230</v>
      </c>
      <c r="AB71" s="34">
        <f t="shared" si="28"/>
        <v>0.23</v>
      </c>
      <c r="AC71" s="340">
        <f t="shared" si="29"/>
        <v>10243606</v>
      </c>
      <c r="AD71" s="34">
        <f t="shared" si="30"/>
        <v>0.77</v>
      </c>
      <c r="AE71" s="645">
        <f>'Table 7 Local Revenue'!AL70</f>
        <v>5816973.5</v>
      </c>
      <c r="AF71" s="30">
        <f t="shared" si="31"/>
        <v>2756743.5</v>
      </c>
      <c r="AG71" s="37">
        <f t="shared" si="32"/>
        <v>0</v>
      </c>
      <c r="AH71" s="30">
        <f t="shared" si="52"/>
        <v>4390266</v>
      </c>
      <c r="AI71" s="35">
        <f t="shared" si="33"/>
        <v>2756743.5</v>
      </c>
      <c r="AJ71" s="340">
        <f t="shared" si="53"/>
        <v>1669676</v>
      </c>
      <c r="AK71" s="34">
        <f t="shared" si="34"/>
        <v>0.6057</v>
      </c>
      <c r="AL71" s="30">
        <f t="shared" si="54"/>
        <v>989376</v>
      </c>
      <c r="AM71" s="30">
        <f t="shared" si="35"/>
        <v>4426419.5</v>
      </c>
      <c r="AN71" s="30">
        <f t="shared" si="36"/>
        <v>11913282</v>
      </c>
      <c r="AO71" s="30">
        <f t="shared" si="55"/>
        <v>4286.9</v>
      </c>
      <c r="AP71" s="30">
        <f>'Table 4 Level 3'!Y69</f>
        <v>155624</v>
      </c>
      <c r="AQ71" s="30">
        <f t="shared" si="37"/>
        <v>56</v>
      </c>
      <c r="AR71" s="340">
        <f t="shared" si="38"/>
        <v>12068906</v>
      </c>
      <c r="AS71" s="37">
        <f>AR71-'Table 2 Distribution &amp; Adjusts'!L68</f>
        <v>410661</v>
      </c>
      <c r="AT71" s="340">
        <f t="shared" si="56"/>
        <v>4342.9</v>
      </c>
      <c r="AU71" s="29">
        <f t="shared" si="39"/>
        <v>13</v>
      </c>
      <c r="AV71" s="34">
        <f t="shared" si="57"/>
        <v>0.6748</v>
      </c>
      <c r="AW71" s="29">
        <f t="shared" si="40"/>
        <v>31</v>
      </c>
      <c r="AX71" s="30">
        <f t="shared" si="41"/>
        <v>5816973.5</v>
      </c>
      <c r="AY71" s="30">
        <f t="shared" si="58"/>
        <v>2093.19</v>
      </c>
      <c r="AZ71" s="29">
        <f t="shared" si="42"/>
        <v>30</v>
      </c>
      <c r="BA71" s="34">
        <f t="shared" si="43"/>
        <v>0.3252</v>
      </c>
      <c r="BB71" s="30">
        <f t="shared" si="59"/>
        <v>17885879.5</v>
      </c>
      <c r="BC71" s="30">
        <f t="shared" si="60"/>
        <v>6436.08</v>
      </c>
      <c r="BD71" s="29">
        <f t="shared" si="44"/>
        <v>18</v>
      </c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</row>
    <row r="72" spans="1:153" s="6" customFormat="1" ht="12.75">
      <c r="A72" s="418">
        <v>65</v>
      </c>
      <c r="B72" s="326" t="s">
        <v>65</v>
      </c>
      <c r="C72" s="29">
        <f>'Table 8 Membership'!U72</f>
        <v>9325</v>
      </c>
      <c r="D72" s="326">
        <v>7148</v>
      </c>
      <c r="E72" s="313">
        <f t="shared" si="16"/>
        <v>3980340</v>
      </c>
      <c r="F72" s="29">
        <f t="shared" si="45"/>
        <v>1215</v>
      </c>
      <c r="G72" s="326">
        <f>'[3]Sheet1'!C67</f>
        <v>2487</v>
      </c>
      <c r="H72" s="313">
        <f t="shared" si="17"/>
        <v>406224</v>
      </c>
      <c r="I72" s="29">
        <f t="shared" si="46"/>
        <v>124</v>
      </c>
      <c r="J72" s="326">
        <f>'[1]Sheet1'!C70</f>
        <v>1355</v>
      </c>
      <c r="K72" s="313">
        <f t="shared" si="18"/>
        <v>6660108</v>
      </c>
      <c r="L72" s="29">
        <f t="shared" si="47"/>
        <v>2033</v>
      </c>
      <c r="M72" s="326">
        <f>'[1]Sheet1'!D70</f>
        <v>586</v>
      </c>
      <c r="N72" s="30">
        <f t="shared" si="19"/>
        <v>1153152</v>
      </c>
      <c r="O72" s="29">
        <f t="shared" si="48"/>
        <v>352</v>
      </c>
      <c r="P72" s="29">
        <f t="shared" si="49"/>
        <v>0</v>
      </c>
      <c r="Q72" s="244">
        <f>ROUND(P72/$Q$4,5)</f>
        <v>0</v>
      </c>
      <c r="R72" s="30">
        <f t="shared" si="20"/>
        <v>0</v>
      </c>
      <c r="S72" s="29">
        <f t="shared" si="21"/>
        <v>0</v>
      </c>
      <c r="T72" s="29">
        <f t="shared" si="22"/>
        <v>3724</v>
      </c>
      <c r="U72" s="29">
        <f t="shared" si="23"/>
        <v>13049</v>
      </c>
      <c r="V72" s="30">
        <f t="shared" si="24"/>
        <v>3276</v>
      </c>
      <c r="W72" s="30">
        <f t="shared" si="25"/>
        <v>42748524</v>
      </c>
      <c r="X72" s="33">
        <f>'Table 6 Local Wealth Factor'!L72</f>
        <v>1.29665899</v>
      </c>
      <c r="Y72" s="33">
        <f t="shared" si="26"/>
        <v>0.01349816</v>
      </c>
      <c r="Z72" s="33">
        <f t="shared" si="27"/>
        <v>0.01750251</v>
      </c>
      <c r="AA72" s="30">
        <f>IF(W$75*Z72*AA$4&lt;W72,ROUND(W$75*Z72*AA$4,0),W72)</f>
        <v>19400583</v>
      </c>
      <c r="AB72" s="34">
        <f t="shared" si="28"/>
        <v>0.4538</v>
      </c>
      <c r="AC72" s="340">
        <f t="shared" si="29"/>
        <v>23347941</v>
      </c>
      <c r="AD72" s="34">
        <f t="shared" si="30"/>
        <v>0.5462</v>
      </c>
      <c r="AE72" s="645">
        <f>'Table 7 Local Revenue'!AL71</f>
        <v>33300815</v>
      </c>
      <c r="AF72" s="30">
        <f t="shared" si="31"/>
        <v>13900232</v>
      </c>
      <c r="AG72" s="37">
        <f t="shared" si="32"/>
        <v>0</v>
      </c>
      <c r="AH72" s="30">
        <f t="shared" si="52"/>
        <v>14107013</v>
      </c>
      <c r="AI72" s="35">
        <f t="shared" si="33"/>
        <v>13900232</v>
      </c>
      <c r="AJ72" s="340">
        <f>IF((1-((1-AJ$4)*X72))*AI72&gt;0,ROUND((1-((1-AJ$4)*X72))*AI72,0),0)</f>
        <v>3085916</v>
      </c>
      <c r="AK72" s="34">
        <f t="shared" si="34"/>
        <v>0.222</v>
      </c>
      <c r="AL72" s="30">
        <f t="shared" si="54"/>
        <v>45906</v>
      </c>
      <c r="AM72" s="30">
        <f t="shared" si="35"/>
        <v>16986148</v>
      </c>
      <c r="AN72" s="30">
        <f t="shared" si="36"/>
        <v>26433857</v>
      </c>
      <c r="AO72" s="30">
        <f>ROUND(AN72/C72,2)</f>
        <v>2834.73</v>
      </c>
      <c r="AP72" s="30">
        <f>'Table 4 Level 3'!Y70</f>
        <v>1510650</v>
      </c>
      <c r="AQ72" s="30">
        <f t="shared" si="37"/>
        <v>162</v>
      </c>
      <c r="AR72" s="340">
        <f t="shared" si="38"/>
        <v>27944507</v>
      </c>
      <c r="AS72" s="37">
        <f>AR72-'Table 2 Distribution &amp; Adjusts'!L69</f>
        <v>781226</v>
      </c>
      <c r="AT72" s="340">
        <f t="shared" si="56"/>
        <v>2996.73</v>
      </c>
      <c r="AU72" s="29">
        <f t="shared" si="39"/>
        <v>55</v>
      </c>
      <c r="AV72" s="34">
        <f t="shared" si="57"/>
        <v>0.4563</v>
      </c>
      <c r="AW72" s="29">
        <f t="shared" si="40"/>
        <v>58</v>
      </c>
      <c r="AX72" s="30">
        <f t="shared" si="41"/>
        <v>33300815</v>
      </c>
      <c r="AY72" s="30">
        <f>ROUND(AX72/C72,2)</f>
        <v>3571.13</v>
      </c>
      <c r="AZ72" s="29">
        <f t="shared" si="42"/>
        <v>8</v>
      </c>
      <c r="BA72" s="34">
        <f t="shared" si="43"/>
        <v>0.5437</v>
      </c>
      <c r="BB72" s="30">
        <f t="shared" si="59"/>
        <v>61245322</v>
      </c>
      <c r="BC72" s="30">
        <f>ROUND(BB72/C72,2)</f>
        <v>6567.86</v>
      </c>
      <c r="BD72" s="29">
        <f t="shared" si="44"/>
        <v>13</v>
      </c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</row>
    <row r="73" spans="1:153" s="6" customFormat="1" ht="12.75">
      <c r="A73" s="418">
        <v>66</v>
      </c>
      <c r="B73" s="326" t="s">
        <v>66</v>
      </c>
      <c r="C73" s="29">
        <f>'Table 8 Membership'!U73</f>
        <v>2887</v>
      </c>
      <c r="D73" s="326">
        <v>2270</v>
      </c>
      <c r="E73" s="313">
        <f>ROUND(V73*F73,0)</f>
        <v>1264536</v>
      </c>
      <c r="F73" s="29">
        <f t="shared" si="45"/>
        <v>386</v>
      </c>
      <c r="G73" s="326">
        <f>'[3]Sheet1'!C68</f>
        <v>710</v>
      </c>
      <c r="H73" s="313">
        <f>ROUND(I73*V73,0)</f>
        <v>117936</v>
      </c>
      <c r="I73" s="29">
        <f t="shared" si="46"/>
        <v>36</v>
      </c>
      <c r="J73" s="326">
        <f>'[1]Sheet1'!C71</f>
        <v>660</v>
      </c>
      <c r="K73" s="313">
        <f>ROUND(L73*V73,0)</f>
        <v>3243240</v>
      </c>
      <c r="L73" s="29">
        <f t="shared" si="47"/>
        <v>990</v>
      </c>
      <c r="M73" s="326">
        <f>'[1]Sheet1'!D71</f>
        <v>214</v>
      </c>
      <c r="N73" s="30">
        <f>ROUND(O73*V73,0)</f>
        <v>419328</v>
      </c>
      <c r="O73" s="29">
        <f t="shared" si="48"/>
        <v>128</v>
      </c>
      <c r="P73" s="29">
        <f t="shared" si="49"/>
        <v>4613</v>
      </c>
      <c r="Q73" s="244">
        <f>ROUND(P73/$Q$4,5)</f>
        <v>0.12301</v>
      </c>
      <c r="R73" s="30">
        <f>ROUND(S73*V73,0)</f>
        <v>1162980</v>
      </c>
      <c r="S73" s="29">
        <f>ROUND(C73*Q73,0)</f>
        <v>355</v>
      </c>
      <c r="T73" s="29">
        <f>SUM(F73+I73+L73+O73+S73,0)</f>
        <v>1895</v>
      </c>
      <c r="U73" s="29">
        <f>T73+C73</f>
        <v>4782</v>
      </c>
      <c r="V73" s="30">
        <f>V$75</f>
        <v>3276</v>
      </c>
      <c r="W73" s="30">
        <f>ROUND(U73*V73,0)</f>
        <v>15665832</v>
      </c>
      <c r="X73" s="33">
        <f>'Table 6 Local Wealth Factor'!L73</f>
        <v>0.71336508</v>
      </c>
      <c r="Y73" s="33">
        <f>ROUND(U73/U$75,8)</f>
        <v>0.0049466</v>
      </c>
      <c r="Z73" s="33">
        <f>ROUND(X73*Y73,8)</f>
        <v>0.00352873</v>
      </c>
      <c r="AA73" s="30">
        <f>IF(W$75*Z73*AA$4&lt;W73,ROUND(W$75*Z73*AA$4,0),W73)</f>
        <v>3911406</v>
      </c>
      <c r="AB73" s="34">
        <f>ROUND(AA73/W73,4)</f>
        <v>0.2497</v>
      </c>
      <c r="AC73" s="340">
        <f>IF(W73-AA73&gt;0,W73-AA73,0)</f>
        <v>11754426</v>
      </c>
      <c r="AD73" s="34">
        <f>ROUND(AC73/W73,4)</f>
        <v>0.7503</v>
      </c>
      <c r="AE73" s="645">
        <f>'Table 7 Local Revenue'!AL72</f>
        <v>5111109</v>
      </c>
      <c r="AF73" s="30">
        <f>IF(AE73-AA73&gt;0,AE73-AA73,0)</f>
        <v>1199703</v>
      </c>
      <c r="AG73" s="37">
        <f>IF(AE73-AA73&lt;0,AE73-AA73,0)</f>
        <v>0</v>
      </c>
      <c r="AH73" s="30">
        <f t="shared" si="52"/>
        <v>5169725</v>
      </c>
      <c r="AI73" s="35">
        <f>IF(AF73&lt;AH73,AF73,AH73)</f>
        <v>1199703</v>
      </c>
      <c r="AJ73" s="340">
        <f>IF((1-((1-AJ$4)*X73))*AI73&gt;0,ROUND((1-((1-AJ$4)*X73))*AI73,0),0)</f>
        <v>686207</v>
      </c>
      <c r="AK73" s="34">
        <f>IF(AI73=0,0,ROUND(AJ73/AI73,4))</f>
        <v>0.572</v>
      </c>
      <c r="AL73" s="30">
        <f t="shared" si="54"/>
        <v>2270777</v>
      </c>
      <c r="AM73" s="30">
        <f>AI73+AJ73</f>
        <v>1885910</v>
      </c>
      <c r="AN73" s="30">
        <f>+AJ73+AC73</f>
        <v>12440633</v>
      </c>
      <c r="AO73" s="30">
        <f>ROUND(AN73/C73,2)</f>
        <v>4309.19</v>
      </c>
      <c r="AP73" s="30">
        <f>'Table 4 Level 3'!Y71</f>
        <v>0</v>
      </c>
      <c r="AQ73" s="30">
        <f>ROUND(AP73/C73,2)</f>
        <v>0</v>
      </c>
      <c r="AR73" s="340">
        <f>+AN73+AP73</f>
        <v>12440633</v>
      </c>
      <c r="AS73" s="37">
        <f>AR73-'Table 2 Distribution &amp; Adjusts'!L70</f>
        <v>-234796</v>
      </c>
      <c r="AT73" s="340">
        <f t="shared" si="56"/>
        <v>4309.19</v>
      </c>
      <c r="AU73" s="29">
        <f>RANK(AT73,$AT$8:$AT$73)</f>
        <v>17</v>
      </c>
      <c r="AV73" s="34">
        <f t="shared" si="57"/>
        <v>0.7088</v>
      </c>
      <c r="AW73" s="29">
        <f>RANK(AV73,$AV$8:$AV$73)</f>
        <v>23</v>
      </c>
      <c r="AX73" s="30">
        <f>ROUND(AA73+AI73,2)</f>
        <v>5111109</v>
      </c>
      <c r="AY73" s="30">
        <f>ROUND(AX73/C73,2)</f>
        <v>1770.39</v>
      </c>
      <c r="AZ73" s="29">
        <f>RANK(AY73,$AY$8:$AY$73)</f>
        <v>42</v>
      </c>
      <c r="BA73" s="34">
        <f>ROUND(AX73/BB73,4)</f>
        <v>0.2912</v>
      </c>
      <c r="BB73" s="30">
        <f t="shared" si="59"/>
        <v>17551742</v>
      </c>
      <c r="BC73" s="30">
        <f>ROUND(BB73/C73,2)</f>
        <v>6079.58</v>
      </c>
      <c r="BD73" s="29">
        <f>RANK(BC73,$BC$8:$BC$73)</f>
        <v>29</v>
      </c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</row>
    <row r="74" spans="1:56" ht="12.75">
      <c r="A74" s="420"/>
      <c r="B74" s="421"/>
      <c r="C74" s="25"/>
      <c r="D74" s="421"/>
      <c r="E74" s="421" t="s">
        <v>1</v>
      </c>
      <c r="F74" s="25"/>
      <c r="G74" s="421"/>
      <c r="H74" s="421"/>
      <c r="I74" s="25"/>
      <c r="J74" s="421"/>
      <c r="K74" s="421"/>
      <c r="L74" s="25"/>
      <c r="M74" s="421"/>
      <c r="N74" s="25"/>
      <c r="O74" s="25"/>
      <c r="P74" s="25"/>
      <c r="Q74" s="338"/>
      <c r="R74" s="25"/>
      <c r="S74" s="25"/>
      <c r="T74" s="25"/>
      <c r="U74" s="25"/>
      <c r="V74" s="25"/>
      <c r="W74" s="25"/>
      <c r="X74" s="26"/>
      <c r="Y74" s="26"/>
      <c r="Z74" s="26"/>
      <c r="AA74" s="25"/>
      <c r="AB74" s="25"/>
      <c r="AC74" s="342"/>
      <c r="AD74" s="36"/>
      <c r="AE74" s="261"/>
      <c r="AF74" s="25"/>
      <c r="AG74" s="25"/>
      <c r="AH74" s="25"/>
      <c r="AI74" s="25"/>
      <c r="AJ74" s="344"/>
      <c r="AK74" s="25"/>
      <c r="AL74" s="25"/>
      <c r="AM74" s="25"/>
      <c r="AN74" s="25"/>
      <c r="AO74" s="25"/>
      <c r="AP74" s="25"/>
      <c r="AQ74" s="25"/>
      <c r="AR74" s="342"/>
      <c r="AS74" s="37"/>
      <c r="AT74" s="342"/>
      <c r="AU74" s="29"/>
      <c r="AV74" s="36"/>
      <c r="AW74" s="29"/>
      <c r="AX74" s="25"/>
      <c r="AY74" s="37"/>
      <c r="AZ74" s="29"/>
      <c r="BA74" s="34"/>
      <c r="BB74" s="37"/>
      <c r="BC74" s="37"/>
      <c r="BD74" s="29"/>
    </row>
    <row r="75" spans="1:56" ht="13.5" thickBot="1">
      <c r="A75" s="422"/>
      <c r="B75" s="423" t="s">
        <v>67</v>
      </c>
      <c r="C75" s="424">
        <f aca="true" t="shared" si="61" ref="C75:P75">SUM(C8:C73)</f>
        <v>708238</v>
      </c>
      <c r="D75" s="424">
        <f t="shared" si="61"/>
        <v>426734</v>
      </c>
      <c r="E75" s="386">
        <f t="shared" si="61"/>
        <v>237660696</v>
      </c>
      <c r="F75" s="425">
        <f t="shared" si="61"/>
        <v>72546</v>
      </c>
      <c r="G75" s="424">
        <f t="shared" si="61"/>
        <v>171505</v>
      </c>
      <c r="H75" s="386">
        <f t="shared" si="61"/>
        <v>28101528</v>
      </c>
      <c r="I75" s="424">
        <f t="shared" si="61"/>
        <v>8578</v>
      </c>
      <c r="J75" s="424">
        <f t="shared" si="61"/>
        <v>99730</v>
      </c>
      <c r="K75" s="426">
        <f t="shared" si="61"/>
        <v>490135464</v>
      </c>
      <c r="L75" s="424">
        <f t="shared" si="61"/>
        <v>149614</v>
      </c>
      <c r="M75" s="424">
        <f t="shared" si="61"/>
        <v>25743</v>
      </c>
      <c r="N75" s="118">
        <f t="shared" si="61"/>
        <v>50601096</v>
      </c>
      <c r="O75" s="125">
        <f t="shared" si="61"/>
        <v>15446</v>
      </c>
      <c r="P75" s="125">
        <f t="shared" si="61"/>
        <v>155362</v>
      </c>
      <c r="Q75" s="242"/>
      <c r="R75" s="118">
        <f>SUM(R8:R73)</f>
        <v>40301352</v>
      </c>
      <c r="S75" s="125">
        <f>SUM(S8:S73)</f>
        <v>12302</v>
      </c>
      <c r="T75" s="125">
        <f>SUM(T8:T73)</f>
        <v>258486</v>
      </c>
      <c r="U75" s="125">
        <f>SUM(U8:U73)</f>
        <v>966724</v>
      </c>
      <c r="V75" s="118">
        <v>3276</v>
      </c>
      <c r="W75" s="118">
        <f>SUM(W8:W73)</f>
        <v>3166987824</v>
      </c>
      <c r="X75" s="126">
        <f>'Table 6 Local Wealth Factor'!L75</f>
        <v>1</v>
      </c>
      <c r="Y75" s="126">
        <f>ROUND(U75/U$75,8)</f>
        <v>1</v>
      </c>
      <c r="Z75" s="126">
        <f>ROUND(X75*Y75,8)</f>
        <v>1</v>
      </c>
      <c r="AA75" s="118">
        <f>SUM(AA8:AA73)</f>
        <v>1108447057</v>
      </c>
      <c r="AB75" s="127">
        <f>ROUND(AA75/W75,4)</f>
        <v>0.35</v>
      </c>
      <c r="AC75" s="343">
        <f>SUM(AC8:AC73)</f>
        <v>2058540767</v>
      </c>
      <c r="AD75" s="127">
        <f>ROUND(AC75/W75,4)</f>
        <v>0.65</v>
      </c>
      <c r="AE75" s="647">
        <f aca="true" t="shared" si="62" ref="AE75:AJ75">SUM(AE8:AE73)</f>
        <v>1879935205</v>
      </c>
      <c r="AF75" s="118">
        <f t="shared" si="62"/>
        <v>771935348.5</v>
      </c>
      <c r="AG75" s="118">
        <f t="shared" si="62"/>
        <v>-447200.5</v>
      </c>
      <c r="AH75" s="118">
        <f t="shared" si="62"/>
        <v>1045105983</v>
      </c>
      <c r="AI75" s="118">
        <f t="shared" si="62"/>
        <v>706590687.5</v>
      </c>
      <c r="AJ75" s="343">
        <f t="shared" si="62"/>
        <v>259015251</v>
      </c>
      <c r="AK75" s="127">
        <f>IF(AI75=0,0,ROUND(AJ75/AI75,4))</f>
        <v>0.3666</v>
      </c>
      <c r="AL75" s="118">
        <f>SUM(AL8:AL73)</f>
        <v>165618401</v>
      </c>
      <c r="AM75" s="118">
        <f>SUM(AM8:AM73)</f>
        <v>965605938.5</v>
      </c>
      <c r="AN75" s="118">
        <f>SUM(AN8:AN73)</f>
        <v>2317556018</v>
      </c>
      <c r="AO75" s="386">
        <f>ROUND(AN75/C75,2)</f>
        <v>3272.28</v>
      </c>
      <c r="AP75" s="118">
        <f>SUM(AP8:AP73)</f>
        <v>150009566.5</v>
      </c>
      <c r="AQ75" s="118">
        <f>ROUND(AP75/C75,2)</f>
        <v>211.81</v>
      </c>
      <c r="AR75" s="343">
        <f>SUM(AR8:AR73)</f>
        <v>2467565584.5</v>
      </c>
      <c r="AS75" s="118">
        <f>SUM(AS8:AS73)</f>
        <v>83127953.5</v>
      </c>
      <c r="AT75" s="343">
        <f>ROUND(AR75/C75,2)</f>
        <v>3484.09</v>
      </c>
      <c r="AU75" s="125"/>
      <c r="AV75" s="127">
        <f>ROUND(AR75/BB75,4)</f>
        <v>0.5762</v>
      </c>
      <c r="AW75" s="125"/>
      <c r="AX75" s="118">
        <f>SUM(AX8:AX73)</f>
        <v>1815037744.5</v>
      </c>
      <c r="AY75" s="118">
        <f>ROUND(AX75/C75,2)</f>
        <v>2562.75</v>
      </c>
      <c r="AZ75" s="125"/>
      <c r="BA75" s="128">
        <f>ROUND(AX75/BB75,4)</f>
        <v>0.4238</v>
      </c>
      <c r="BB75" s="118">
        <f>SUM(BB8:BB73)</f>
        <v>4282603329</v>
      </c>
      <c r="BC75" s="118">
        <f>ROUND(BB75/C75,2)</f>
        <v>6046.84</v>
      </c>
      <c r="BD75" s="125"/>
    </row>
    <row r="76" spans="1:49" ht="13.5" thickTop="1">
      <c r="A76" s="427"/>
      <c r="B76" s="428"/>
      <c r="C76" s="428"/>
      <c r="D76" s="428"/>
      <c r="E76" s="428"/>
      <c r="F76" s="429"/>
      <c r="G76" s="428"/>
      <c r="H76" s="428"/>
      <c r="I76" s="428"/>
      <c r="J76" s="428"/>
      <c r="K76" s="428"/>
      <c r="L76" s="428"/>
      <c r="M76" s="428"/>
      <c r="V76" s="51"/>
      <c r="X76" s="4" t="s">
        <v>1</v>
      </c>
      <c r="Y76" s="4"/>
      <c r="AN76" s="8"/>
      <c r="AO76" s="8"/>
      <c r="AP76" s="8"/>
      <c r="AQ76" s="8"/>
      <c r="AR76" s="8"/>
      <c r="AS76" s="8"/>
      <c r="AV76" s="7"/>
      <c r="AW76" s="7"/>
    </row>
    <row r="77" spans="1:22" s="94" customFormat="1" ht="12.75">
      <c r="A77" s="430"/>
      <c r="B77" s="431"/>
      <c r="C77" s="431"/>
      <c r="D77" s="431"/>
      <c r="E77" s="431"/>
      <c r="F77" s="431"/>
      <c r="G77" s="431"/>
      <c r="H77" s="431"/>
      <c r="I77" s="431"/>
      <c r="J77" s="431"/>
      <c r="K77" s="431"/>
      <c r="L77" s="431"/>
      <c r="M77" s="431"/>
      <c r="V77" s="225"/>
    </row>
    <row r="78" spans="1:45" ht="12.75">
      <c r="A78" s="427"/>
      <c r="B78" s="428"/>
      <c r="C78" s="428"/>
      <c r="D78" s="428"/>
      <c r="E78" s="428"/>
      <c r="F78" s="429"/>
      <c r="G78" s="428"/>
      <c r="H78" s="428"/>
      <c r="I78" s="428"/>
      <c r="J78" s="428"/>
      <c r="K78" s="432"/>
      <c r="L78" s="432"/>
      <c r="M78" s="432"/>
      <c r="X78" s="4"/>
      <c r="Y78" s="4"/>
      <c r="AC78" s="8"/>
      <c r="AN78" s="9"/>
      <c r="AO78" s="9"/>
      <c r="AP78" s="9"/>
      <c r="AQ78" s="9"/>
      <c r="AR78" s="9"/>
      <c r="AS78" s="9"/>
    </row>
    <row r="79" spans="1:45" ht="12.75">
      <c r="A79" s="427"/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V79" s="227"/>
      <c r="X79" s="4"/>
      <c r="Y79" s="4"/>
      <c r="AN79" s="8"/>
      <c r="AO79" s="8"/>
      <c r="AP79" s="8"/>
      <c r="AQ79" s="8"/>
      <c r="AR79" s="8"/>
      <c r="AS79" s="8"/>
    </row>
    <row r="80" spans="1:45" ht="12.75">
      <c r="A80" s="427"/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X80" s="4"/>
      <c r="Y80" s="4"/>
      <c r="AN80" s="8"/>
      <c r="AO80" s="8"/>
      <c r="AP80" s="8"/>
      <c r="AQ80" s="8"/>
      <c r="AR80" s="8"/>
      <c r="AS80" s="8"/>
    </row>
    <row r="81" spans="1:55" ht="12.75">
      <c r="A81" s="427"/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X81" s="4"/>
      <c r="Y81" s="4"/>
      <c r="AN81" s="8"/>
      <c r="AO81" s="8"/>
      <c r="AP81" s="8"/>
      <c r="AQ81" s="8"/>
      <c r="AR81" s="8"/>
      <c r="AS81" s="8"/>
      <c r="AT81" s="7"/>
      <c r="AU81" s="7"/>
      <c r="AY81" s="7"/>
      <c r="AZ81" s="7"/>
      <c r="BC81" s="7"/>
    </row>
    <row r="82" spans="1:45" ht="12.75">
      <c r="A82" s="427"/>
      <c r="B82" s="428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X82" s="4"/>
      <c r="Y82" s="4"/>
      <c r="AN82" s="8"/>
      <c r="AO82" s="8"/>
      <c r="AP82" s="8"/>
      <c r="AQ82" s="8"/>
      <c r="AR82" s="8"/>
      <c r="AS82" s="8"/>
    </row>
    <row r="83" spans="1:45" ht="12.75">
      <c r="A83" s="427"/>
      <c r="B83" s="428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X83" s="4"/>
      <c r="Y83" s="4"/>
      <c r="AN83" s="8"/>
      <c r="AO83" s="8"/>
      <c r="AP83" s="8"/>
      <c r="AQ83" s="8"/>
      <c r="AR83" s="8"/>
      <c r="AS83" s="8"/>
    </row>
    <row r="84" spans="1:45" ht="12.75">
      <c r="A84" s="427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X84" s="4"/>
      <c r="Y84" s="4"/>
      <c r="AN84" s="8"/>
      <c r="AO84" s="8"/>
      <c r="AP84" s="8"/>
      <c r="AQ84" s="8"/>
      <c r="AR84" s="8"/>
      <c r="AS84" s="8"/>
    </row>
    <row r="85" spans="1:45" ht="12.75">
      <c r="A85" s="427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X85" s="4"/>
      <c r="Y85" s="4"/>
      <c r="AN85" s="8"/>
      <c r="AO85" s="8"/>
      <c r="AP85" s="8"/>
      <c r="AQ85" s="8"/>
      <c r="AR85" s="8"/>
      <c r="AS85" s="8"/>
    </row>
    <row r="86" spans="1:45" ht="12.75">
      <c r="A86" s="427"/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X86" s="4"/>
      <c r="Y86" s="4"/>
      <c r="AN86" s="8"/>
      <c r="AO86" s="8"/>
      <c r="AP86" s="8"/>
      <c r="AQ86" s="8"/>
      <c r="AR86" s="8"/>
      <c r="AS86" s="8"/>
    </row>
    <row r="87" spans="1:45" ht="12.75">
      <c r="A87" s="427"/>
      <c r="B87" s="428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X87" s="4"/>
      <c r="Y87" s="4"/>
      <c r="AN87" s="8"/>
      <c r="AO87" s="8"/>
      <c r="AP87" s="8"/>
      <c r="AQ87" s="8"/>
      <c r="AR87" s="8"/>
      <c r="AS87" s="8"/>
    </row>
    <row r="88" spans="1:45" ht="12.75">
      <c r="A88" s="427"/>
      <c r="B88" s="428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X88" s="4"/>
      <c r="Y88" s="4"/>
      <c r="AN88" s="8"/>
      <c r="AO88" s="8"/>
      <c r="AP88" s="8"/>
      <c r="AQ88" s="8"/>
      <c r="AR88" s="8"/>
      <c r="AS88" s="8"/>
    </row>
    <row r="89" spans="1:45" ht="12.75">
      <c r="A89" s="427"/>
      <c r="B89" s="428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X89" s="4"/>
      <c r="Y89" s="4"/>
      <c r="AN89" s="8"/>
      <c r="AO89" s="8"/>
      <c r="AP89" s="8"/>
      <c r="AQ89" s="8"/>
      <c r="AR89" s="8"/>
      <c r="AS89" s="8"/>
    </row>
    <row r="90" spans="1:45" ht="12.75">
      <c r="A90" s="427"/>
      <c r="B90" s="428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X90" s="4"/>
      <c r="Y90" s="4"/>
      <c r="AN90" s="8"/>
      <c r="AO90" s="8"/>
      <c r="AP90" s="8"/>
      <c r="AQ90" s="8"/>
      <c r="AR90" s="8"/>
      <c r="AS90" s="8"/>
    </row>
    <row r="91" spans="1:45" ht="12.75">
      <c r="A91" s="427"/>
      <c r="B91" s="428"/>
      <c r="C91" s="42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X91" s="4"/>
      <c r="Y91" s="4"/>
      <c r="AN91" s="8"/>
      <c r="AO91" s="8"/>
      <c r="AP91" s="8"/>
      <c r="AQ91" s="8"/>
      <c r="AR91" s="8"/>
      <c r="AS91" s="8"/>
    </row>
    <row r="92" spans="1:45" ht="12.75">
      <c r="A92" s="427"/>
      <c r="B92" s="428"/>
      <c r="C92" s="428"/>
      <c r="D92" s="428"/>
      <c r="E92" s="428"/>
      <c r="F92" s="428"/>
      <c r="G92" s="428"/>
      <c r="H92" s="428"/>
      <c r="I92" s="428"/>
      <c r="J92" s="428"/>
      <c r="K92" s="428"/>
      <c r="L92" s="428"/>
      <c r="M92" s="428"/>
      <c r="X92" s="4"/>
      <c r="Y92" s="4"/>
      <c r="AN92" s="8"/>
      <c r="AO92" s="8"/>
      <c r="AP92" s="8"/>
      <c r="AQ92" s="8"/>
      <c r="AR92" s="8"/>
      <c r="AS92" s="8"/>
    </row>
    <row r="93" spans="1:45" ht="12.75">
      <c r="A93" s="427"/>
      <c r="B93" s="428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X93" s="4"/>
      <c r="Y93" s="4"/>
      <c r="AN93" s="8"/>
      <c r="AO93" s="8"/>
      <c r="AP93" s="8"/>
      <c r="AQ93" s="8"/>
      <c r="AR93" s="8"/>
      <c r="AS93" s="8"/>
    </row>
    <row r="94" spans="1:45" ht="12.75">
      <c r="A94" s="427"/>
      <c r="B94" s="428"/>
      <c r="C94" s="428"/>
      <c r="D94" s="428"/>
      <c r="E94" s="428"/>
      <c r="F94" s="428"/>
      <c r="G94" s="428"/>
      <c r="H94" s="428"/>
      <c r="I94" s="428"/>
      <c r="J94" s="428"/>
      <c r="K94" s="428"/>
      <c r="L94" s="428"/>
      <c r="M94" s="428"/>
      <c r="X94" s="4"/>
      <c r="Y94" s="4"/>
      <c r="AN94" s="8"/>
      <c r="AO94" s="8"/>
      <c r="AP94" s="8"/>
      <c r="AQ94" s="8"/>
      <c r="AR94" s="8"/>
      <c r="AS94" s="8"/>
    </row>
    <row r="95" spans="1:45" ht="12.75">
      <c r="A95" s="427"/>
      <c r="B95" s="428"/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X95" s="4"/>
      <c r="Y95" s="4"/>
      <c r="AN95" s="8"/>
      <c r="AO95" s="8"/>
      <c r="AP95" s="8"/>
      <c r="AQ95" s="8"/>
      <c r="AR95" s="8"/>
      <c r="AS95" s="8"/>
    </row>
    <row r="96" spans="1:45" ht="12.75">
      <c r="A96" s="427"/>
      <c r="B96" s="428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X96" s="4"/>
      <c r="Y96" s="4"/>
      <c r="AN96" s="8"/>
      <c r="AO96" s="8"/>
      <c r="AP96" s="8"/>
      <c r="AQ96" s="8"/>
      <c r="AR96" s="8"/>
      <c r="AS96" s="8"/>
    </row>
    <row r="97" spans="1:45" ht="12.75">
      <c r="A97" s="427"/>
      <c r="B97" s="428"/>
      <c r="C97" s="428"/>
      <c r="D97" s="428"/>
      <c r="E97" s="428"/>
      <c r="F97" s="428"/>
      <c r="G97" s="428"/>
      <c r="H97" s="428"/>
      <c r="I97" s="428"/>
      <c r="J97" s="428"/>
      <c r="K97" s="428"/>
      <c r="L97" s="428"/>
      <c r="M97" s="428"/>
      <c r="X97" s="4"/>
      <c r="Y97" s="4"/>
      <c r="AN97" s="8"/>
      <c r="AO97" s="8"/>
      <c r="AP97" s="8"/>
      <c r="AQ97" s="8"/>
      <c r="AR97" s="8"/>
      <c r="AS97" s="8"/>
    </row>
    <row r="98" spans="1:45" ht="12.75">
      <c r="A98" s="427"/>
      <c r="B98" s="428"/>
      <c r="C98" s="428"/>
      <c r="D98" s="428"/>
      <c r="E98" s="428"/>
      <c r="F98" s="428"/>
      <c r="G98" s="428"/>
      <c r="H98" s="428"/>
      <c r="I98" s="428"/>
      <c r="J98" s="428"/>
      <c r="K98" s="428"/>
      <c r="L98" s="428"/>
      <c r="M98" s="428"/>
      <c r="X98" s="4"/>
      <c r="Y98" s="4"/>
      <c r="AN98" s="8"/>
      <c r="AO98" s="8"/>
      <c r="AP98" s="8"/>
      <c r="AQ98" s="8"/>
      <c r="AR98" s="8"/>
      <c r="AS98" s="8"/>
    </row>
    <row r="99" spans="1:45" ht="12.75">
      <c r="A99" s="427"/>
      <c r="B99" s="428"/>
      <c r="C99" s="428"/>
      <c r="D99" s="428"/>
      <c r="E99" s="428"/>
      <c r="F99" s="428"/>
      <c r="G99" s="428"/>
      <c r="H99" s="428"/>
      <c r="I99" s="428"/>
      <c r="J99" s="428"/>
      <c r="K99" s="428"/>
      <c r="L99" s="428"/>
      <c r="M99" s="428"/>
      <c r="X99" s="4"/>
      <c r="Y99" s="4"/>
      <c r="AN99" s="8"/>
      <c r="AO99" s="8"/>
      <c r="AP99" s="8"/>
      <c r="AQ99" s="8"/>
      <c r="AR99" s="8"/>
      <c r="AS99" s="8"/>
    </row>
    <row r="100" spans="1:45" ht="12.75">
      <c r="A100" s="427"/>
      <c r="B100" s="428"/>
      <c r="C100" s="428"/>
      <c r="D100" s="428"/>
      <c r="E100" s="428"/>
      <c r="F100" s="428"/>
      <c r="G100" s="428"/>
      <c r="H100" s="428"/>
      <c r="I100" s="428"/>
      <c r="J100" s="428"/>
      <c r="K100" s="428"/>
      <c r="L100" s="428"/>
      <c r="M100" s="428"/>
      <c r="X100" s="4"/>
      <c r="Y100" s="4"/>
      <c r="AN100" s="8"/>
      <c r="AO100" s="8"/>
      <c r="AP100" s="8"/>
      <c r="AQ100" s="8"/>
      <c r="AR100" s="8"/>
      <c r="AS100" s="8"/>
    </row>
    <row r="101" spans="1:45" ht="12.75">
      <c r="A101" s="427"/>
      <c r="B101" s="428"/>
      <c r="C101" s="428"/>
      <c r="D101" s="428"/>
      <c r="E101" s="428"/>
      <c r="F101" s="428"/>
      <c r="G101" s="428"/>
      <c r="H101" s="428"/>
      <c r="I101" s="428"/>
      <c r="J101" s="428"/>
      <c r="K101" s="428"/>
      <c r="L101" s="428"/>
      <c r="M101" s="428"/>
      <c r="X101" s="4"/>
      <c r="Y101" s="4"/>
      <c r="AN101" s="8"/>
      <c r="AO101" s="8"/>
      <c r="AP101" s="8"/>
      <c r="AQ101" s="8"/>
      <c r="AR101" s="8"/>
      <c r="AS101" s="8"/>
    </row>
    <row r="102" spans="1:45" ht="12.75">
      <c r="A102" s="427"/>
      <c r="B102" s="428"/>
      <c r="C102" s="428"/>
      <c r="D102" s="428"/>
      <c r="E102" s="428"/>
      <c r="F102" s="428"/>
      <c r="G102" s="428"/>
      <c r="H102" s="428"/>
      <c r="I102" s="428"/>
      <c r="J102" s="428"/>
      <c r="K102" s="428"/>
      <c r="L102" s="428"/>
      <c r="M102" s="428"/>
      <c r="X102" s="4"/>
      <c r="Y102" s="4"/>
      <c r="AN102" s="8"/>
      <c r="AO102" s="8"/>
      <c r="AP102" s="8"/>
      <c r="AQ102" s="8"/>
      <c r="AR102" s="8"/>
      <c r="AS102" s="8"/>
    </row>
    <row r="103" spans="1:45" ht="12.75">
      <c r="A103" s="427"/>
      <c r="B103" s="428"/>
      <c r="C103" s="428"/>
      <c r="D103" s="428"/>
      <c r="E103" s="428"/>
      <c r="F103" s="428"/>
      <c r="G103" s="428"/>
      <c r="H103" s="428"/>
      <c r="I103" s="428"/>
      <c r="J103" s="428"/>
      <c r="K103" s="428"/>
      <c r="L103" s="428"/>
      <c r="M103" s="428"/>
      <c r="X103" s="4"/>
      <c r="Y103" s="4"/>
      <c r="AN103" s="8"/>
      <c r="AO103" s="8"/>
      <c r="AP103" s="8"/>
      <c r="AQ103" s="8"/>
      <c r="AR103" s="8"/>
      <c r="AS103" s="8"/>
    </row>
    <row r="104" spans="1:45" ht="12.75">
      <c r="A104" s="427"/>
      <c r="B104" s="428"/>
      <c r="C104" s="428"/>
      <c r="D104" s="428"/>
      <c r="E104" s="428"/>
      <c r="F104" s="428"/>
      <c r="G104" s="428"/>
      <c r="H104" s="428"/>
      <c r="I104" s="428"/>
      <c r="J104" s="428"/>
      <c r="K104" s="428"/>
      <c r="L104" s="428"/>
      <c r="M104" s="428"/>
      <c r="X104" s="4"/>
      <c r="Y104" s="4"/>
      <c r="AN104" s="8"/>
      <c r="AO104" s="8"/>
      <c r="AP104" s="8"/>
      <c r="AQ104" s="8"/>
      <c r="AR104" s="8"/>
      <c r="AS104" s="8"/>
    </row>
    <row r="105" spans="1:45" ht="12.75">
      <c r="A105" s="427"/>
      <c r="B105" s="428"/>
      <c r="C105" s="428"/>
      <c r="D105" s="428"/>
      <c r="E105" s="428"/>
      <c r="F105" s="428"/>
      <c r="G105" s="428"/>
      <c r="H105" s="428"/>
      <c r="I105" s="428"/>
      <c r="J105" s="428"/>
      <c r="K105" s="428"/>
      <c r="L105" s="428"/>
      <c r="M105" s="428"/>
      <c r="X105" s="4"/>
      <c r="Y105" s="4"/>
      <c r="AN105" s="8"/>
      <c r="AO105" s="8"/>
      <c r="AP105" s="8"/>
      <c r="AQ105" s="8"/>
      <c r="AR105" s="8"/>
      <c r="AS105" s="8"/>
    </row>
    <row r="106" spans="1:45" ht="12.75">
      <c r="A106" s="427"/>
      <c r="B106" s="428"/>
      <c r="C106" s="428"/>
      <c r="D106" s="428"/>
      <c r="E106" s="428"/>
      <c r="F106" s="428"/>
      <c r="G106" s="428"/>
      <c r="H106" s="428"/>
      <c r="I106" s="428"/>
      <c r="J106" s="428"/>
      <c r="K106" s="428"/>
      <c r="L106" s="428"/>
      <c r="M106" s="428"/>
      <c r="X106" s="4"/>
      <c r="Y106" s="4"/>
      <c r="AN106" s="8"/>
      <c r="AO106" s="8"/>
      <c r="AP106" s="8"/>
      <c r="AQ106" s="8"/>
      <c r="AR106" s="8"/>
      <c r="AS106" s="8"/>
    </row>
    <row r="107" spans="1:45" ht="12.75">
      <c r="A107" s="427"/>
      <c r="B107" s="428"/>
      <c r="C107" s="428"/>
      <c r="D107" s="428"/>
      <c r="E107" s="428"/>
      <c r="F107" s="428"/>
      <c r="G107" s="428"/>
      <c r="H107" s="428"/>
      <c r="I107" s="428"/>
      <c r="J107" s="428"/>
      <c r="K107" s="428"/>
      <c r="L107" s="428"/>
      <c r="M107" s="428"/>
      <c r="X107" s="4"/>
      <c r="Y107" s="4"/>
      <c r="AN107" s="8"/>
      <c r="AO107" s="8"/>
      <c r="AP107" s="8"/>
      <c r="AQ107" s="8"/>
      <c r="AR107" s="8"/>
      <c r="AS107" s="8"/>
    </row>
    <row r="108" spans="1:45" ht="12.75">
      <c r="A108" s="427"/>
      <c r="B108" s="428"/>
      <c r="C108" s="428"/>
      <c r="D108" s="428"/>
      <c r="E108" s="428"/>
      <c r="F108" s="428"/>
      <c r="G108" s="428"/>
      <c r="H108" s="428"/>
      <c r="I108" s="428"/>
      <c r="J108" s="428"/>
      <c r="K108" s="428"/>
      <c r="L108" s="428"/>
      <c r="M108" s="428"/>
      <c r="X108" s="4"/>
      <c r="Y108" s="4"/>
      <c r="AN108" s="8"/>
      <c r="AO108" s="8"/>
      <c r="AP108" s="8"/>
      <c r="AQ108" s="8"/>
      <c r="AR108" s="8"/>
      <c r="AS108" s="8"/>
    </row>
    <row r="109" spans="1:45" ht="12.75">
      <c r="A109" s="427"/>
      <c r="B109" s="428"/>
      <c r="C109" s="428"/>
      <c r="D109" s="428"/>
      <c r="E109" s="428"/>
      <c r="F109" s="428"/>
      <c r="G109" s="428"/>
      <c r="H109" s="428"/>
      <c r="I109" s="428"/>
      <c r="J109" s="428"/>
      <c r="K109" s="428"/>
      <c r="L109" s="428"/>
      <c r="M109" s="428"/>
      <c r="X109" s="4"/>
      <c r="Y109" s="4"/>
      <c r="AN109" s="8"/>
      <c r="AO109" s="8"/>
      <c r="AP109" s="8"/>
      <c r="AQ109" s="8"/>
      <c r="AR109" s="8"/>
      <c r="AS109" s="8"/>
    </row>
    <row r="110" spans="1:45" ht="12.75">
      <c r="A110" s="427"/>
      <c r="B110" s="428"/>
      <c r="C110" s="428"/>
      <c r="D110" s="428"/>
      <c r="E110" s="428"/>
      <c r="F110" s="428"/>
      <c r="G110" s="428"/>
      <c r="H110" s="428"/>
      <c r="I110" s="428"/>
      <c r="J110" s="428"/>
      <c r="K110" s="428"/>
      <c r="L110" s="428"/>
      <c r="M110" s="428"/>
      <c r="X110" s="4"/>
      <c r="Y110" s="4"/>
      <c r="AN110" s="8"/>
      <c r="AO110" s="8"/>
      <c r="AP110" s="8"/>
      <c r="AQ110" s="8"/>
      <c r="AR110" s="8"/>
      <c r="AS110" s="8"/>
    </row>
    <row r="111" spans="1:45" ht="12.75">
      <c r="A111" s="427"/>
      <c r="B111" s="428"/>
      <c r="C111" s="428"/>
      <c r="D111" s="428"/>
      <c r="E111" s="428"/>
      <c r="F111" s="428"/>
      <c r="G111" s="428"/>
      <c r="H111" s="428"/>
      <c r="I111" s="428"/>
      <c r="J111" s="428"/>
      <c r="K111" s="428"/>
      <c r="L111" s="428"/>
      <c r="M111" s="428"/>
      <c r="X111" s="4"/>
      <c r="Y111" s="4"/>
      <c r="AN111" s="8"/>
      <c r="AO111" s="8"/>
      <c r="AP111" s="8"/>
      <c r="AQ111" s="8"/>
      <c r="AR111" s="8"/>
      <c r="AS111" s="8"/>
    </row>
    <row r="112" spans="1:45" ht="12.75">
      <c r="A112" s="427"/>
      <c r="B112" s="428"/>
      <c r="C112" s="428"/>
      <c r="D112" s="428"/>
      <c r="E112" s="428"/>
      <c r="F112" s="428"/>
      <c r="G112" s="428"/>
      <c r="H112" s="428"/>
      <c r="I112" s="428"/>
      <c r="J112" s="428"/>
      <c r="K112" s="428"/>
      <c r="L112" s="428"/>
      <c r="M112" s="428"/>
      <c r="X112" s="4"/>
      <c r="Y112" s="4"/>
      <c r="AN112" s="8"/>
      <c r="AO112" s="8"/>
      <c r="AP112" s="8"/>
      <c r="AQ112" s="8"/>
      <c r="AR112" s="8"/>
      <c r="AS112" s="8"/>
    </row>
    <row r="113" spans="1:45" ht="12.75">
      <c r="A113" s="427"/>
      <c r="B113" s="428"/>
      <c r="C113" s="428"/>
      <c r="D113" s="428"/>
      <c r="E113" s="428"/>
      <c r="F113" s="428"/>
      <c r="G113" s="428"/>
      <c r="H113" s="428"/>
      <c r="I113" s="428"/>
      <c r="J113" s="428"/>
      <c r="K113" s="428"/>
      <c r="L113" s="428"/>
      <c r="M113" s="428"/>
      <c r="X113" s="4"/>
      <c r="Y113" s="4"/>
      <c r="AN113" s="8"/>
      <c r="AO113" s="8"/>
      <c r="AP113" s="8"/>
      <c r="AQ113" s="8"/>
      <c r="AR113" s="8"/>
      <c r="AS113" s="8"/>
    </row>
    <row r="114" spans="1:45" ht="12.75">
      <c r="A114" s="427"/>
      <c r="B114" s="428"/>
      <c r="C114" s="428"/>
      <c r="D114" s="428"/>
      <c r="E114" s="428"/>
      <c r="F114" s="428"/>
      <c r="G114" s="428"/>
      <c r="H114" s="428"/>
      <c r="I114" s="428"/>
      <c r="J114" s="428"/>
      <c r="K114" s="428"/>
      <c r="L114" s="428"/>
      <c r="M114" s="428"/>
      <c r="X114" s="4"/>
      <c r="Y114" s="4"/>
      <c r="AN114" s="8"/>
      <c r="AO114" s="8"/>
      <c r="AP114" s="8"/>
      <c r="AQ114" s="8"/>
      <c r="AR114" s="8"/>
      <c r="AS114" s="8"/>
    </row>
    <row r="115" spans="1:45" ht="12.75">
      <c r="A115" s="427"/>
      <c r="B115" s="428"/>
      <c r="C115" s="428"/>
      <c r="D115" s="428"/>
      <c r="E115" s="428"/>
      <c r="F115" s="428"/>
      <c r="G115" s="428"/>
      <c r="H115" s="428"/>
      <c r="I115" s="428"/>
      <c r="J115" s="428"/>
      <c r="K115" s="428"/>
      <c r="L115" s="428"/>
      <c r="M115" s="428"/>
      <c r="X115" s="4"/>
      <c r="Y115" s="4"/>
      <c r="AN115" s="8"/>
      <c r="AO115" s="8"/>
      <c r="AP115" s="8"/>
      <c r="AQ115" s="8"/>
      <c r="AR115" s="8"/>
      <c r="AS115" s="8"/>
    </row>
    <row r="116" spans="1:45" ht="12.75">
      <c r="A116" s="427"/>
      <c r="B116" s="428"/>
      <c r="C116" s="428"/>
      <c r="D116" s="428"/>
      <c r="E116" s="428"/>
      <c r="F116" s="428"/>
      <c r="G116" s="428"/>
      <c r="H116" s="428"/>
      <c r="I116" s="428"/>
      <c r="J116" s="428"/>
      <c r="K116" s="428"/>
      <c r="L116" s="428"/>
      <c r="M116" s="428"/>
      <c r="X116" s="4"/>
      <c r="Y116" s="4"/>
      <c r="AN116" s="8"/>
      <c r="AO116" s="8"/>
      <c r="AP116" s="8"/>
      <c r="AQ116" s="8"/>
      <c r="AR116" s="8"/>
      <c r="AS116" s="8"/>
    </row>
    <row r="117" spans="1:45" ht="12.75">
      <c r="A117" s="427"/>
      <c r="B117" s="428"/>
      <c r="C117" s="428"/>
      <c r="D117" s="428"/>
      <c r="E117" s="428"/>
      <c r="F117" s="428"/>
      <c r="G117" s="428"/>
      <c r="H117" s="428"/>
      <c r="I117" s="428"/>
      <c r="J117" s="428"/>
      <c r="K117" s="428"/>
      <c r="L117" s="428"/>
      <c r="M117" s="428"/>
      <c r="X117" s="4"/>
      <c r="Y117" s="4"/>
      <c r="AN117" s="8"/>
      <c r="AO117" s="8"/>
      <c r="AP117" s="8"/>
      <c r="AQ117" s="8"/>
      <c r="AR117" s="8"/>
      <c r="AS117" s="8"/>
    </row>
    <row r="118" spans="1:45" ht="12.75">
      <c r="A118" s="427"/>
      <c r="B118" s="428"/>
      <c r="C118" s="428"/>
      <c r="D118" s="428"/>
      <c r="E118" s="428"/>
      <c r="F118" s="428"/>
      <c r="G118" s="428"/>
      <c r="H118" s="428"/>
      <c r="I118" s="428"/>
      <c r="J118" s="428"/>
      <c r="K118" s="428"/>
      <c r="L118" s="428"/>
      <c r="M118" s="428"/>
      <c r="X118" s="4"/>
      <c r="Y118" s="4"/>
      <c r="AN118" s="8"/>
      <c r="AO118" s="8"/>
      <c r="AP118" s="8"/>
      <c r="AQ118" s="8"/>
      <c r="AR118" s="8"/>
      <c r="AS118" s="8"/>
    </row>
    <row r="119" spans="1:45" ht="12.75">
      <c r="A119" s="427"/>
      <c r="B119" s="428"/>
      <c r="C119" s="428"/>
      <c r="D119" s="428"/>
      <c r="E119" s="428"/>
      <c r="F119" s="428"/>
      <c r="G119" s="428"/>
      <c r="H119" s="428"/>
      <c r="I119" s="428"/>
      <c r="J119" s="428"/>
      <c r="K119" s="428"/>
      <c r="L119" s="428"/>
      <c r="M119" s="428"/>
      <c r="X119" s="4"/>
      <c r="Y119" s="4"/>
      <c r="AN119" s="8"/>
      <c r="AO119" s="8"/>
      <c r="AP119" s="8"/>
      <c r="AQ119" s="8"/>
      <c r="AR119" s="8"/>
      <c r="AS119" s="8"/>
    </row>
    <row r="120" spans="1:45" ht="12.75">
      <c r="A120" s="427"/>
      <c r="B120" s="428"/>
      <c r="C120" s="428"/>
      <c r="D120" s="428"/>
      <c r="E120" s="428"/>
      <c r="F120" s="428"/>
      <c r="G120" s="428"/>
      <c r="H120" s="428"/>
      <c r="I120" s="428"/>
      <c r="J120" s="428"/>
      <c r="K120" s="428"/>
      <c r="L120" s="428"/>
      <c r="M120" s="428"/>
      <c r="X120" s="4"/>
      <c r="Y120" s="4"/>
      <c r="AN120" s="8"/>
      <c r="AO120" s="8"/>
      <c r="AP120" s="8"/>
      <c r="AQ120" s="8"/>
      <c r="AR120" s="8"/>
      <c r="AS120" s="8"/>
    </row>
    <row r="121" spans="1:45" ht="12.75">
      <c r="A121" s="427"/>
      <c r="B121" s="428"/>
      <c r="C121" s="428"/>
      <c r="D121" s="428"/>
      <c r="E121" s="428"/>
      <c r="F121" s="428"/>
      <c r="G121" s="428"/>
      <c r="H121" s="428"/>
      <c r="I121" s="428"/>
      <c r="J121" s="428"/>
      <c r="K121" s="428"/>
      <c r="L121" s="428"/>
      <c r="M121" s="428"/>
      <c r="X121" s="4"/>
      <c r="Y121" s="4"/>
      <c r="AN121" s="8"/>
      <c r="AO121" s="8"/>
      <c r="AP121" s="8"/>
      <c r="AQ121" s="8"/>
      <c r="AR121" s="8"/>
      <c r="AS121" s="8"/>
    </row>
    <row r="122" spans="1:45" ht="12.75">
      <c r="A122" s="427"/>
      <c r="B122" s="428"/>
      <c r="C122" s="428"/>
      <c r="D122" s="428"/>
      <c r="E122" s="428"/>
      <c r="F122" s="428"/>
      <c r="G122" s="428"/>
      <c r="H122" s="428"/>
      <c r="I122" s="428"/>
      <c r="J122" s="428"/>
      <c r="K122" s="428"/>
      <c r="L122" s="428"/>
      <c r="M122" s="428"/>
      <c r="X122" s="4"/>
      <c r="Y122" s="4"/>
      <c r="AN122" s="8"/>
      <c r="AO122" s="8"/>
      <c r="AP122" s="8"/>
      <c r="AQ122" s="8"/>
      <c r="AR122" s="8"/>
      <c r="AS122" s="8"/>
    </row>
    <row r="123" spans="1:45" ht="12.75">
      <c r="A123" s="427"/>
      <c r="B123" s="428"/>
      <c r="C123" s="428"/>
      <c r="D123" s="428"/>
      <c r="E123" s="428"/>
      <c r="F123" s="428"/>
      <c r="G123" s="428"/>
      <c r="H123" s="428"/>
      <c r="I123" s="428"/>
      <c r="J123" s="428"/>
      <c r="K123" s="428"/>
      <c r="L123" s="428"/>
      <c r="M123" s="428"/>
      <c r="X123" s="4"/>
      <c r="Y123" s="4"/>
      <c r="AN123" s="8"/>
      <c r="AO123" s="8"/>
      <c r="AP123" s="8"/>
      <c r="AQ123" s="8"/>
      <c r="AR123" s="8"/>
      <c r="AS123" s="8"/>
    </row>
    <row r="124" spans="1:45" ht="12.75">
      <c r="A124" s="427"/>
      <c r="B124" s="428"/>
      <c r="C124" s="428"/>
      <c r="D124" s="428"/>
      <c r="E124" s="428"/>
      <c r="F124" s="428"/>
      <c r="G124" s="428"/>
      <c r="H124" s="428"/>
      <c r="I124" s="428"/>
      <c r="J124" s="428"/>
      <c r="K124" s="428"/>
      <c r="L124" s="428"/>
      <c r="M124" s="428"/>
      <c r="X124" s="4"/>
      <c r="Y124" s="4"/>
      <c r="AN124" s="8"/>
      <c r="AO124" s="8"/>
      <c r="AP124" s="8"/>
      <c r="AQ124" s="8"/>
      <c r="AR124" s="8"/>
      <c r="AS124" s="8"/>
    </row>
    <row r="125" spans="1:45" ht="12.75">
      <c r="A125" s="427"/>
      <c r="B125" s="428"/>
      <c r="C125" s="428"/>
      <c r="D125" s="428"/>
      <c r="E125" s="428"/>
      <c r="F125" s="428"/>
      <c r="G125" s="428"/>
      <c r="H125" s="428"/>
      <c r="I125" s="428"/>
      <c r="J125" s="428"/>
      <c r="K125" s="428"/>
      <c r="L125" s="428"/>
      <c r="M125" s="428"/>
      <c r="X125" s="4"/>
      <c r="Y125" s="4"/>
      <c r="AN125" s="8"/>
      <c r="AO125" s="8"/>
      <c r="AP125" s="8"/>
      <c r="AQ125" s="8"/>
      <c r="AR125" s="8"/>
      <c r="AS125" s="8"/>
    </row>
    <row r="126" spans="1:45" ht="12.75">
      <c r="A126" s="427"/>
      <c r="B126" s="428"/>
      <c r="C126" s="428"/>
      <c r="D126" s="428"/>
      <c r="E126" s="428"/>
      <c r="F126" s="428"/>
      <c r="G126" s="428"/>
      <c r="H126" s="428"/>
      <c r="I126" s="428"/>
      <c r="J126" s="428"/>
      <c r="K126" s="428"/>
      <c r="L126" s="428"/>
      <c r="M126" s="428"/>
      <c r="X126" s="4"/>
      <c r="Y126" s="4"/>
      <c r="AN126" s="8"/>
      <c r="AO126" s="8"/>
      <c r="AP126" s="8"/>
      <c r="AQ126" s="8"/>
      <c r="AR126" s="8"/>
      <c r="AS126" s="8"/>
    </row>
    <row r="127" spans="1:45" ht="12.75">
      <c r="A127" s="427"/>
      <c r="B127" s="428"/>
      <c r="C127" s="428"/>
      <c r="D127" s="428"/>
      <c r="E127" s="428"/>
      <c r="F127" s="428"/>
      <c r="G127" s="428"/>
      <c r="H127" s="428"/>
      <c r="I127" s="428"/>
      <c r="J127" s="428"/>
      <c r="K127" s="428"/>
      <c r="L127" s="428"/>
      <c r="M127" s="428"/>
      <c r="X127" s="4"/>
      <c r="Y127" s="4"/>
      <c r="AN127" s="8"/>
      <c r="AO127" s="8"/>
      <c r="AP127" s="8"/>
      <c r="AQ127" s="8"/>
      <c r="AR127" s="8"/>
      <c r="AS127" s="8"/>
    </row>
    <row r="128" spans="1:45" ht="12.75">
      <c r="A128" s="427"/>
      <c r="B128" s="428"/>
      <c r="C128" s="428"/>
      <c r="D128" s="428"/>
      <c r="E128" s="428"/>
      <c r="F128" s="428"/>
      <c r="G128" s="428"/>
      <c r="H128" s="428"/>
      <c r="I128" s="428"/>
      <c r="J128" s="428"/>
      <c r="K128" s="428"/>
      <c r="L128" s="428"/>
      <c r="M128" s="428"/>
      <c r="X128" s="4"/>
      <c r="Y128" s="4"/>
      <c r="AN128" s="8"/>
      <c r="AO128" s="8"/>
      <c r="AP128" s="8"/>
      <c r="AQ128" s="8"/>
      <c r="AR128" s="8"/>
      <c r="AS128" s="8"/>
    </row>
    <row r="129" spans="1:45" ht="12.75">
      <c r="A129" s="427"/>
      <c r="B129" s="428"/>
      <c r="C129" s="428"/>
      <c r="D129" s="428"/>
      <c r="E129" s="428"/>
      <c r="F129" s="428"/>
      <c r="G129" s="428"/>
      <c r="H129" s="428"/>
      <c r="I129" s="428"/>
      <c r="J129" s="428"/>
      <c r="K129" s="428"/>
      <c r="L129" s="428"/>
      <c r="M129" s="428"/>
      <c r="AN129" s="8"/>
      <c r="AO129" s="8"/>
      <c r="AP129" s="8"/>
      <c r="AQ129" s="8"/>
      <c r="AR129" s="8"/>
      <c r="AS129" s="8"/>
    </row>
    <row r="130" spans="1:45" ht="12.75">
      <c r="A130" s="427"/>
      <c r="B130" s="428"/>
      <c r="C130" s="428"/>
      <c r="D130" s="428"/>
      <c r="E130" s="428"/>
      <c r="F130" s="428"/>
      <c r="G130" s="428"/>
      <c r="H130" s="428"/>
      <c r="I130" s="428"/>
      <c r="J130" s="428"/>
      <c r="K130" s="428"/>
      <c r="L130" s="428"/>
      <c r="M130" s="428"/>
      <c r="AN130" s="8"/>
      <c r="AO130" s="8"/>
      <c r="AP130" s="8"/>
      <c r="AQ130" s="8"/>
      <c r="AR130" s="8"/>
      <c r="AS130" s="8"/>
    </row>
    <row r="131" spans="1:45" ht="12.75">
      <c r="A131" s="427"/>
      <c r="B131" s="428"/>
      <c r="C131" s="428"/>
      <c r="D131" s="428"/>
      <c r="E131" s="428"/>
      <c r="F131" s="428"/>
      <c r="G131" s="428"/>
      <c r="H131" s="428"/>
      <c r="I131" s="428"/>
      <c r="J131" s="428"/>
      <c r="K131" s="428"/>
      <c r="L131" s="428"/>
      <c r="M131" s="428"/>
      <c r="AN131" s="8"/>
      <c r="AO131" s="8"/>
      <c r="AP131" s="8"/>
      <c r="AQ131" s="8"/>
      <c r="AR131" s="8"/>
      <c r="AS131" s="8"/>
    </row>
    <row r="132" spans="1:45" ht="12.75">
      <c r="A132" s="427"/>
      <c r="B132" s="428"/>
      <c r="C132" s="428"/>
      <c r="D132" s="428"/>
      <c r="E132" s="428"/>
      <c r="F132" s="428"/>
      <c r="G132" s="428"/>
      <c r="H132" s="428"/>
      <c r="I132" s="428"/>
      <c r="J132" s="428"/>
      <c r="K132" s="428"/>
      <c r="L132" s="428"/>
      <c r="M132" s="428"/>
      <c r="AN132" s="8"/>
      <c r="AO132" s="8"/>
      <c r="AP132" s="8"/>
      <c r="AQ132" s="8"/>
      <c r="AR132" s="8"/>
      <c r="AS132" s="8"/>
    </row>
    <row r="133" spans="1:45" ht="12.75">
      <c r="A133" s="427"/>
      <c r="B133" s="428"/>
      <c r="C133" s="428"/>
      <c r="D133" s="428"/>
      <c r="E133" s="428"/>
      <c r="F133" s="428"/>
      <c r="G133" s="428"/>
      <c r="H133" s="428"/>
      <c r="I133" s="428"/>
      <c r="J133" s="428"/>
      <c r="K133" s="428"/>
      <c r="L133" s="428"/>
      <c r="M133" s="428"/>
      <c r="AN133" s="8"/>
      <c r="AO133" s="8"/>
      <c r="AP133" s="8"/>
      <c r="AQ133" s="8"/>
      <c r="AR133" s="8"/>
      <c r="AS133" s="8"/>
    </row>
    <row r="134" spans="1:45" ht="12.75">
      <c r="A134" s="427"/>
      <c r="B134" s="428"/>
      <c r="C134" s="428"/>
      <c r="D134" s="428"/>
      <c r="E134" s="428"/>
      <c r="F134" s="428"/>
      <c r="G134" s="428"/>
      <c r="H134" s="428"/>
      <c r="I134" s="428"/>
      <c r="J134" s="428"/>
      <c r="K134" s="428"/>
      <c r="L134" s="428"/>
      <c r="M134" s="428"/>
      <c r="AN134" s="8"/>
      <c r="AO134" s="8"/>
      <c r="AP134" s="8"/>
      <c r="AQ134" s="8"/>
      <c r="AR134" s="8"/>
      <c r="AS134" s="8"/>
    </row>
    <row r="135" spans="1:45" ht="12.75">
      <c r="A135" s="427"/>
      <c r="B135" s="428"/>
      <c r="C135" s="428"/>
      <c r="D135" s="428"/>
      <c r="E135" s="428"/>
      <c r="F135" s="428"/>
      <c r="G135" s="428"/>
      <c r="H135" s="428"/>
      <c r="I135" s="428"/>
      <c r="J135" s="428"/>
      <c r="K135" s="428"/>
      <c r="L135" s="428"/>
      <c r="M135" s="428"/>
      <c r="AN135" s="8"/>
      <c r="AO135" s="8"/>
      <c r="AP135" s="8"/>
      <c r="AQ135" s="8"/>
      <c r="AR135" s="8"/>
      <c r="AS135" s="8"/>
    </row>
    <row r="136" spans="1:45" ht="12.75">
      <c r="A136" s="427"/>
      <c r="B136" s="428"/>
      <c r="C136" s="428"/>
      <c r="D136" s="428"/>
      <c r="E136" s="428"/>
      <c r="F136" s="428"/>
      <c r="G136" s="428"/>
      <c r="H136" s="428"/>
      <c r="I136" s="428"/>
      <c r="J136" s="428"/>
      <c r="K136" s="428"/>
      <c r="L136" s="428"/>
      <c r="M136" s="428"/>
      <c r="AN136" s="8"/>
      <c r="AO136" s="8"/>
      <c r="AP136" s="8"/>
      <c r="AQ136" s="8"/>
      <c r="AR136" s="8"/>
      <c r="AS136" s="8"/>
    </row>
    <row r="137" spans="1:45" ht="12.75">
      <c r="A137" s="427"/>
      <c r="B137" s="428"/>
      <c r="C137" s="428"/>
      <c r="D137" s="428"/>
      <c r="E137" s="428"/>
      <c r="F137" s="428"/>
      <c r="G137" s="428"/>
      <c r="H137" s="428"/>
      <c r="I137" s="428"/>
      <c r="J137" s="428"/>
      <c r="K137" s="428"/>
      <c r="L137" s="428"/>
      <c r="M137" s="428"/>
      <c r="AN137" s="8"/>
      <c r="AO137" s="8"/>
      <c r="AP137" s="8"/>
      <c r="AQ137" s="8"/>
      <c r="AR137" s="8"/>
      <c r="AS137" s="8"/>
    </row>
    <row r="138" spans="1:45" ht="12.75">
      <c r="A138" s="427"/>
      <c r="B138" s="428"/>
      <c r="C138" s="428"/>
      <c r="D138" s="428"/>
      <c r="E138" s="428"/>
      <c r="F138" s="428"/>
      <c r="G138" s="428"/>
      <c r="H138" s="428"/>
      <c r="I138" s="428"/>
      <c r="J138" s="428"/>
      <c r="K138" s="428"/>
      <c r="L138" s="428"/>
      <c r="M138" s="428"/>
      <c r="AN138" s="8"/>
      <c r="AO138" s="8"/>
      <c r="AP138" s="8"/>
      <c r="AQ138" s="8"/>
      <c r="AR138" s="8"/>
      <c r="AS138" s="8"/>
    </row>
    <row r="139" spans="1:45" ht="12.75">
      <c r="A139" s="427"/>
      <c r="B139" s="428"/>
      <c r="C139" s="428"/>
      <c r="D139" s="428"/>
      <c r="E139" s="428"/>
      <c r="F139" s="428"/>
      <c r="G139" s="428"/>
      <c r="H139" s="428"/>
      <c r="I139" s="428"/>
      <c r="J139" s="428"/>
      <c r="K139" s="428"/>
      <c r="L139" s="428"/>
      <c r="M139" s="428"/>
      <c r="AN139" s="8"/>
      <c r="AO139" s="8"/>
      <c r="AP139" s="8"/>
      <c r="AQ139" s="8"/>
      <c r="AR139" s="8"/>
      <c r="AS139" s="8"/>
    </row>
    <row r="140" spans="1:45" ht="12.75">
      <c r="A140" s="427"/>
      <c r="B140" s="428"/>
      <c r="C140" s="428"/>
      <c r="D140" s="428"/>
      <c r="E140" s="428"/>
      <c r="F140" s="428"/>
      <c r="G140" s="428"/>
      <c r="H140" s="428"/>
      <c r="I140" s="428"/>
      <c r="J140" s="428"/>
      <c r="K140" s="428"/>
      <c r="L140" s="428"/>
      <c r="M140" s="428"/>
      <c r="AN140" s="8"/>
      <c r="AO140" s="8"/>
      <c r="AP140" s="8"/>
      <c r="AQ140" s="8"/>
      <c r="AR140" s="8"/>
      <c r="AS140" s="8"/>
    </row>
    <row r="141" spans="1:45" ht="12.75">
      <c r="A141" s="427"/>
      <c r="B141" s="428"/>
      <c r="C141" s="428"/>
      <c r="D141" s="428"/>
      <c r="E141" s="428"/>
      <c r="F141" s="428"/>
      <c r="G141" s="428"/>
      <c r="H141" s="428"/>
      <c r="I141" s="428"/>
      <c r="J141" s="428"/>
      <c r="K141" s="428"/>
      <c r="L141" s="428"/>
      <c r="M141" s="428"/>
      <c r="AN141" s="8"/>
      <c r="AO141" s="8"/>
      <c r="AP141" s="8"/>
      <c r="AQ141" s="8"/>
      <c r="AR141" s="8"/>
      <c r="AS141" s="8"/>
    </row>
    <row r="142" spans="1:45" ht="12.75">
      <c r="A142" s="427"/>
      <c r="B142" s="428"/>
      <c r="C142" s="428"/>
      <c r="D142" s="428"/>
      <c r="E142" s="428"/>
      <c r="F142" s="428"/>
      <c r="G142" s="428"/>
      <c r="H142" s="428"/>
      <c r="I142" s="428"/>
      <c r="J142" s="428"/>
      <c r="K142" s="428"/>
      <c r="L142" s="428"/>
      <c r="M142" s="428"/>
      <c r="AN142" s="8"/>
      <c r="AO142" s="8"/>
      <c r="AP142" s="8"/>
      <c r="AQ142" s="8"/>
      <c r="AR142" s="8"/>
      <c r="AS142" s="8"/>
    </row>
    <row r="143" spans="1:45" ht="12.75">
      <c r="A143" s="427"/>
      <c r="B143" s="428"/>
      <c r="C143" s="428"/>
      <c r="D143" s="428"/>
      <c r="E143" s="428"/>
      <c r="F143" s="428"/>
      <c r="G143" s="428"/>
      <c r="H143" s="428"/>
      <c r="I143" s="428"/>
      <c r="J143" s="428"/>
      <c r="K143" s="428"/>
      <c r="L143" s="428"/>
      <c r="M143" s="428"/>
      <c r="AN143" s="8"/>
      <c r="AO143" s="8"/>
      <c r="AP143" s="8"/>
      <c r="AQ143" s="8"/>
      <c r="AR143" s="8"/>
      <c r="AS143" s="8"/>
    </row>
    <row r="144" spans="1:45" ht="12.75">
      <c r="A144" s="427"/>
      <c r="B144" s="428"/>
      <c r="C144" s="428"/>
      <c r="D144" s="428"/>
      <c r="E144" s="428"/>
      <c r="F144" s="428"/>
      <c r="G144" s="428"/>
      <c r="H144" s="428"/>
      <c r="I144" s="428"/>
      <c r="J144" s="428"/>
      <c r="K144" s="428"/>
      <c r="L144" s="428"/>
      <c r="M144" s="428"/>
      <c r="AN144" s="8"/>
      <c r="AO144" s="8"/>
      <c r="AP144" s="8"/>
      <c r="AQ144" s="8"/>
      <c r="AR144" s="8"/>
      <c r="AS144" s="8"/>
    </row>
    <row r="145" spans="1:45" ht="12.75">
      <c r="A145" s="427"/>
      <c r="B145" s="428"/>
      <c r="C145" s="428"/>
      <c r="D145" s="428"/>
      <c r="E145" s="428"/>
      <c r="F145" s="428"/>
      <c r="G145" s="428"/>
      <c r="H145" s="428"/>
      <c r="I145" s="428"/>
      <c r="J145" s="428"/>
      <c r="K145" s="428"/>
      <c r="L145" s="428"/>
      <c r="M145" s="428"/>
      <c r="AN145" s="8"/>
      <c r="AO145" s="8"/>
      <c r="AP145" s="8"/>
      <c r="AQ145" s="8"/>
      <c r="AR145" s="8"/>
      <c r="AS145" s="8"/>
    </row>
    <row r="146" spans="1:13" ht="12.75">
      <c r="A146" s="427"/>
      <c r="B146" s="428"/>
      <c r="C146" s="428"/>
      <c r="D146" s="428"/>
      <c r="E146" s="428"/>
      <c r="F146" s="428"/>
      <c r="G146" s="428"/>
      <c r="H146" s="428"/>
      <c r="I146" s="428"/>
      <c r="J146" s="428"/>
      <c r="K146" s="428"/>
      <c r="L146" s="428"/>
      <c r="M146" s="428"/>
    </row>
    <row r="147" spans="1:13" ht="12.75">
      <c r="A147" s="427"/>
      <c r="B147" s="428"/>
      <c r="C147" s="428"/>
      <c r="D147" s="428"/>
      <c r="E147" s="428"/>
      <c r="F147" s="428"/>
      <c r="G147" s="428"/>
      <c r="H147" s="428"/>
      <c r="I147" s="428"/>
      <c r="J147" s="428"/>
      <c r="K147" s="428"/>
      <c r="L147" s="428"/>
      <c r="M147" s="428"/>
    </row>
    <row r="148" spans="1:13" ht="12.75">
      <c r="A148" s="427"/>
      <c r="B148" s="428"/>
      <c r="C148" s="428"/>
      <c r="D148" s="428"/>
      <c r="E148" s="428"/>
      <c r="F148" s="428"/>
      <c r="G148" s="428"/>
      <c r="H148" s="428"/>
      <c r="I148" s="428"/>
      <c r="J148" s="428"/>
      <c r="K148" s="428"/>
      <c r="L148" s="428"/>
      <c r="M148" s="428"/>
    </row>
    <row r="149" spans="1:13" ht="12.75">
      <c r="A149" s="427"/>
      <c r="B149" s="428"/>
      <c r="C149" s="428"/>
      <c r="D149" s="428"/>
      <c r="E149" s="428"/>
      <c r="F149" s="428"/>
      <c r="G149" s="428"/>
      <c r="H149" s="428"/>
      <c r="I149" s="428"/>
      <c r="J149" s="428"/>
      <c r="K149" s="428"/>
      <c r="L149" s="428"/>
      <c r="M149" s="428"/>
    </row>
    <row r="150" spans="1:13" ht="12.75">
      <c r="A150" s="427"/>
      <c r="B150" s="428"/>
      <c r="C150" s="428"/>
      <c r="D150" s="428"/>
      <c r="E150" s="428"/>
      <c r="F150" s="428"/>
      <c r="G150" s="428"/>
      <c r="H150" s="428"/>
      <c r="I150" s="428"/>
      <c r="J150" s="428"/>
      <c r="K150" s="428"/>
      <c r="L150" s="428"/>
      <c r="M150" s="428"/>
    </row>
    <row r="151" spans="1:13" ht="12.75">
      <c r="A151" s="427"/>
      <c r="B151" s="428"/>
      <c r="C151" s="428"/>
      <c r="D151" s="428"/>
      <c r="E151" s="428"/>
      <c r="F151" s="428"/>
      <c r="G151" s="428"/>
      <c r="H151" s="428"/>
      <c r="I151" s="428"/>
      <c r="J151" s="428"/>
      <c r="K151" s="428"/>
      <c r="L151" s="428"/>
      <c r="M151" s="428"/>
    </row>
    <row r="152" spans="1:13" ht="12.75">
      <c r="A152" s="427"/>
      <c r="B152" s="428"/>
      <c r="C152" s="428"/>
      <c r="D152" s="428"/>
      <c r="E152" s="428"/>
      <c r="F152" s="428"/>
      <c r="G152" s="428"/>
      <c r="H152" s="428"/>
      <c r="I152" s="428"/>
      <c r="J152" s="428"/>
      <c r="K152" s="428"/>
      <c r="L152" s="428"/>
      <c r="M152" s="428"/>
    </row>
    <row r="153" spans="1:13" ht="12.75">
      <c r="A153" s="427"/>
      <c r="B153" s="428"/>
      <c r="C153" s="428"/>
      <c r="D153" s="428"/>
      <c r="E153" s="428"/>
      <c r="F153" s="428"/>
      <c r="G153" s="428"/>
      <c r="H153" s="428"/>
      <c r="I153" s="428"/>
      <c r="J153" s="428"/>
      <c r="K153" s="428"/>
      <c r="L153" s="428"/>
      <c r="M153" s="428"/>
    </row>
    <row r="154" spans="1:13" ht="12.75">
      <c r="A154" s="427"/>
      <c r="B154" s="428"/>
      <c r="C154" s="428"/>
      <c r="D154" s="428"/>
      <c r="E154" s="428"/>
      <c r="F154" s="428"/>
      <c r="G154" s="428"/>
      <c r="H154" s="428"/>
      <c r="I154" s="428"/>
      <c r="J154" s="428"/>
      <c r="K154" s="428"/>
      <c r="L154" s="428"/>
      <c r="M154" s="428"/>
    </row>
    <row r="155" spans="1:13" ht="12.75">
      <c r="A155" s="427"/>
      <c r="B155" s="428"/>
      <c r="C155" s="428"/>
      <c r="D155" s="428"/>
      <c r="E155" s="428"/>
      <c r="F155" s="428"/>
      <c r="G155" s="428"/>
      <c r="H155" s="428"/>
      <c r="I155" s="428"/>
      <c r="J155" s="428"/>
      <c r="K155" s="428"/>
      <c r="L155" s="428"/>
      <c r="M155" s="428"/>
    </row>
    <row r="156" spans="1:13" ht="12.75">
      <c r="A156" s="427"/>
      <c r="B156" s="428"/>
      <c r="C156" s="428"/>
      <c r="D156" s="428"/>
      <c r="E156" s="428"/>
      <c r="F156" s="428"/>
      <c r="G156" s="428"/>
      <c r="H156" s="428"/>
      <c r="I156" s="428"/>
      <c r="J156" s="428"/>
      <c r="K156" s="428"/>
      <c r="L156" s="428"/>
      <c r="M156" s="428"/>
    </row>
    <row r="157" spans="1:13" ht="12.75">
      <c r="A157" s="427"/>
      <c r="B157" s="428"/>
      <c r="C157" s="428"/>
      <c r="D157" s="428"/>
      <c r="E157" s="428"/>
      <c r="F157" s="428"/>
      <c r="G157" s="428"/>
      <c r="H157" s="428"/>
      <c r="I157" s="428"/>
      <c r="J157" s="428"/>
      <c r="K157" s="428"/>
      <c r="L157" s="428"/>
      <c r="M157" s="428"/>
    </row>
    <row r="158" spans="1:13" ht="12.75">
      <c r="A158" s="427"/>
      <c r="B158" s="428"/>
      <c r="C158" s="428"/>
      <c r="D158" s="428"/>
      <c r="E158" s="428"/>
      <c r="F158" s="428"/>
      <c r="G158" s="428"/>
      <c r="H158" s="428"/>
      <c r="I158" s="428"/>
      <c r="J158" s="428"/>
      <c r="K158" s="428"/>
      <c r="L158" s="428"/>
      <c r="M158" s="428"/>
    </row>
    <row r="159" spans="1:13" ht="12.75">
      <c r="A159" s="427"/>
      <c r="B159" s="428"/>
      <c r="C159" s="428"/>
      <c r="D159" s="428"/>
      <c r="E159" s="428"/>
      <c r="F159" s="428"/>
      <c r="G159" s="428"/>
      <c r="H159" s="428"/>
      <c r="I159" s="428"/>
      <c r="J159" s="428"/>
      <c r="K159" s="428"/>
      <c r="L159" s="428"/>
      <c r="M159" s="428"/>
    </row>
    <row r="160" spans="1:13" ht="12.75">
      <c r="A160" s="427"/>
      <c r="B160" s="428"/>
      <c r="C160" s="428"/>
      <c r="D160" s="428"/>
      <c r="E160" s="428"/>
      <c r="F160" s="428"/>
      <c r="G160" s="428"/>
      <c r="H160" s="428"/>
      <c r="I160" s="428"/>
      <c r="J160" s="428"/>
      <c r="K160" s="428"/>
      <c r="L160" s="428"/>
      <c r="M160" s="428"/>
    </row>
    <row r="161" spans="1:13" ht="12.75">
      <c r="A161" s="427"/>
      <c r="B161" s="428"/>
      <c r="C161" s="428"/>
      <c r="D161" s="428"/>
      <c r="E161" s="428"/>
      <c r="F161" s="428"/>
      <c r="G161" s="428"/>
      <c r="H161" s="428"/>
      <c r="I161" s="428"/>
      <c r="J161" s="428"/>
      <c r="K161" s="428"/>
      <c r="L161" s="428"/>
      <c r="M161" s="428"/>
    </row>
    <row r="162" spans="1:13" ht="12.75">
      <c r="A162" s="427"/>
      <c r="B162" s="428"/>
      <c r="C162" s="428"/>
      <c r="D162" s="428"/>
      <c r="E162" s="428"/>
      <c r="F162" s="428"/>
      <c r="G162" s="428"/>
      <c r="H162" s="428"/>
      <c r="I162" s="428"/>
      <c r="J162" s="428"/>
      <c r="K162" s="428"/>
      <c r="L162" s="428"/>
      <c r="M162" s="428"/>
    </row>
    <row r="163" spans="1:13" ht="12.75">
      <c r="A163" s="427"/>
      <c r="B163" s="428"/>
      <c r="C163" s="428"/>
      <c r="D163" s="428"/>
      <c r="E163" s="428"/>
      <c r="F163" s="428"/>
      <c r="G163" s="428"/>
      <c r="H163" s="428"/>
      <c r="I163" s="428"/>
      <c r="J163" s="428"/>
      <c r="K163" s="428"/>
      <c r="L163" s="428"/>
      <c r="M163" s="428"/>
    </row>
    <row r="164" spans="1:13" ht="12.75">
      <c r="A164" s="427"/>
      <c r="B164" s="428"/>
      <c r="C164" s="428"/>
      <c r="D164" s="428"/>
      <c r="E164" s="428"/>
      <c r="F164" s="428"/>
      <c r="G164" s="428"/>
      <c r="H164" s="428"/>
      <c r="I164" s="428"/>
      <c r="J164" s="428"/>
      <c r="K164" s="428"/>
      <c r="L164" s="428"/>
      <c r="M164" s="428"/>
    </row>
    <row r="165" spans="1:13" ht="12.75">
      <c r="A165" s="427"/>
      <c r="B165" s="428"/>
      <c r="C165" s="428"/>
      <c r="D165" s="428"/>
      <c r="E165" s="428"/>
      <c r="F165" s="428"/>
      <c r="G165" s="428"/>
      <c r="H165" s="428"/>
      <c r="I165" s="428"/>
      <c r="J165" s="428"/>
      <c r="K165" s="428"/>
      <c r="L165" s="428"/>
      <c r="M165" s="428"/>
    </row>
    <row r="166" spans="1:13" ht="12.75">
      <c r="A166" s="427"/>
      <c r="B166" s="428"/>
      <c r="C166" s="428"/>
      <c r="D166" s="428"/>
      <c r="E166" s="428"/>
      <c r="F166" s="428"/>
      <c r="G166" s="428"/>
      <c r="H166" s="428"/>
      <c r="I166" s="428"/>
      <c r="J166" s="428"/>
      <c r="K166" s="428"/>
      <c r="L166" s="428"/>
      <c r="M166" s="428"/>
    </row>
    <row r="167" spans="1:13" ht="12.75">
      <c r="A167" s="427"/>
      <c r="B167" s="428"/>
      <c r="C167" s="428"/>
      <c r="D167" s="428"/>
      <c r="E167" s="428"/>
      <c r="F167" s="428"/>
      <c r="G167" s="428"/>
      <c r="H167" s="428"/>
      <c r="I167" s="428"/>
      <c r="J167" s="428"/>
      <c r="K167" s="428"/>
      <c r="L167" s="428"/>
      <c r="M167" s="428"/>
    </row>
    <row r="168" spans="1:13" ht="12.75">
      <c r="A168" s="427"/>
      <c r="B168" s="428"/>
      <c r="C168" s="428"/>
      <c r="D168" s="428"/>
      <c r="E168" s="428"/>
      <c r="F168" s="428"/>
      <c r="G168" s="428"/>
      <c r="H168" s="428"/>
      <c r="I168" s="428"/>
      <c r="J168" s="428"/>
      <c r="K168" s="428"/>
      <c r="L168" s="428"/>
      <c r="M168" s="428"/>
    </row>
    <row r="169" spans="1:13" ht="12.75">
      <c r="A169" s="427"/>
      <c r="B169" s="428"/>
      <c r="C169" s="428"/>
      <c r="D169" s="428"/>
      <c r="E169" s="428"/>
      <c r="F169" s="428"/>
      <c r="G169" s="428"/>
      <c r="H169" s="428"/>
      <c r="I169" s="428"/>
      <c r="J169" s="428"/>
      <c r="K169" s="428"/>
      <c r="L169" s="428"/>
      <c r="M169" s="428"/>
    </row>
    <row r="170" spans="1:13" ht="12.75">
      <c r="A170" s="427"/>
      <c r="B170" s="428"/>
      <c r="C170" s="428"/>
      <c r="D170" s="428"/>
      <c r="E170" s="428"/>
      <c r="F170" s="428"/>
      <c r="G170" s="428"/>
      <c r="H170" s="428"/>
      <c r="I170" s="428"/>
      <c r="J170" s="428"/>
      <c r="K170" s="428"/>
      <c r="L170" s="428"/>
      <c r="M170" s="428"/>
    </row>
    <row r="171" spans="1:13" ht="12.75">
      <c r="A171" s="427"/>
      <c r="B171" s="428"/>
      <c r="C171" s="428"/>
      <c r="D171" s="428"/>
      <c r="E171" s="428"/>
      <c r="F171" s="428"/>
      <c r="G171" s="428"/>
      <c r="H171" s="428"/>
      <c r="I171" s="428"/>
      <c r="J171" s="428"/>
      <c r="K171" s="428"/>
      <c r="L171" s="428"/>
      <c r="M171" s="428"/>
    </row>
    <row r="172" spans="1:13" ht="12.75">
      <c r="A172" s="427"/>
      <c r="B172" s="428"/>
      <c r="C172" s="428"/>
      <c r="D172" s="428"/>
      <c r="E172" s="428"/>
      <c r="F172" s="428"/>
      <c r="G172" s="428"/>
      <c r="H172" s="428"/>
      <c r="I172" s="428"/>
      <c r="J172" s="428"/>
      <c r="K172" s="428"/>
      <c r="L172" s="428"/>
      <c r="M172" s="428"/>
    </row>
    <row r="173" spans="1:13" ht="12.75">
      <c r="A173" s="427"/>
      <c r="B173" s="428"/>
      <c r="C173" s="428"/>
      <c r="D173" s="428"/>
      <c r="E173" s="428"/>
      <c r="F173" s="428"/>
      <c r="G173" s="428"/>
      <c r="H173" s="428"/>
      <c r="I173" s="428"/>
      <c r="J173" s="428"/>
      <c r="K173" s="428"/>
      <c r="L173" s="428"/>
      <c r="M173" s="428"/>
    </row>
    <row r="174" spans="1:13" ht="12.75">
      <c r="A174" s="427"/>
      <c r="B174" s="428"/>
      <c r="C174" s="428"/>
      <c r="D174" s="428"/>
      <c r="E174" s="428"/>
      <c r="F174" s="428"/>
      <c r="G174" s="428"/>
      <c r="H174" s="428"/>
      <c r="I174" s="428"/>
      <c r="J174" s="428"/>
      <c r="K174" s="428"/>
      <c r="L174" s="428"/>
      <c r="M174" s="428"/>
    </row>
    <row r="175" spans="1:13" ht="12.75">
      <c r="A175" s="427"/>
      <c r="B175" s="428"/>
      <c r="C175" s="428"/>
      <c r="D175" s="428"/>
      <c r="E175" s="428"/>
      <c r="F175" s="428"/>
      <c r="G175" s="428"/>
      <c r="H175" s="428"/>
      <c r="I175" s="428"/>
      <c r="J175" s="428"/>
      <c r="K175" s="428"/>
      <c r="L175" s="428"/>
      <c r="M175" s="428"/>
    </row>
    <row r="176" spans="1:13" ht="12.75">
      <c r="A176" s="427"/>
      <c r="B176" s="428"/>
      <c r="C176" s="428"/>
      <c r="D176" s="428"/>
      <c r="E176" s="428"/>
      <c r="F176" s="428"/>
      <c r="G176" s="428"/>
      <c r="H176" s="428"/>
      <c r="I176" s="428"/>
      <c r="J176" s="428"/>
      <c r="K176" s="428"/>
      <c r="L176" s="428"/>
      <c r="M176" s="428"/>
    </row>
    <row r="177" spans="1:13" ht="12.75">
      <c r="A177" s="427"/>
      <c r="B177" s="428"/>
      <c r="C177" s="428"/>
      <c r="D177" s="428"/>
      <c r="E177" s="428"/>
      <c r="F177" s="428"/>
      <c r="G177" s="428"/>
      <c r="H177" s="428"/>
      <c r="I177" s="428"/>
      <c r="J177" s="428"/>
      <c r="K177" s="428"/>
      <c r="L177" s="428"/>
      <c r="M177" s="428"/>
    </row>
    <row r="178" spans="1:13" ht="12.75">
      <c r="A178" s="427"/>
      <c r="B178" s="428"/>
      <c r="C178" s="428"/>
      <c r="D178" s="428"/>
      <c r="E178" s="428"/>
      <c r="F178" s="428"/>
      <c r="G178" s="428"/>
      <c r="H178" s="428"/>
      <c r="I178" s="428"/>
      <c r="J178" s="428"/>
      <c r="K178" s="428"/>
      <c r="L178" s="428"/>
      <c r="M178" s="428"/>
    </row>
    <row r="179" spans="1:13" ht="12.75">
      <c r="A179" s="427"/>
      <c r="B179" s="428"/>
      <c r="C179" s="428"/>
      <c r="D179" s="428"/>
      <c r="E179" s="428"/>
      <c r="F179" s="428"/>
      <c r="G179" s="428"/>
      <c r="H179" s="428"/>
      <c r="I179" s="428"/>
      <c r="J179" s="428"/>
      <c r="K179" s="428"/>
      <c r="L179" s="428"/>
      <c r="M179" s="428"/>
    </row>
    <row r="180" spans="1:13" ht="12.75">
      <c r="A180" s="427"/>
      <c r="B180" s="428"/>
      <c r="C180" s="428"/>
      <c r="D180" s="428"/>
      <c r="E180" s="428"/>
      <c r="F180" s="428"/>
      <c r="G180" s="428"/>
      <c r="H180" s="428"/>
      <c r="I180" s="428"/>
      <c r="J180" s="428"/>
      <c r="K180" s="428"/>
      <c r="L180" s="428"/>
      <c r="M180" s="428"/>
    </row>
    <row r="181" spans="1:13" ht="12.75">
      <c r="A181" s="427"/>
      <c r="B181" s="428"/>
      <c r="C181" s="428"/>
      <c r="D181" s="428"/>
      <c r="E181" s="428"/>
      <c r="F181" s="428"/>
      <c r="G181" s="428"/>
      <c r="H181" s="428"/>
      <c r="I181" s="428"/>
      <c r="J181" s="428"/>
      <c r="K181" s="428"/>
      <c r="L181" s="428"/>
      <c r="M181" s="428"/>
    </row>
    <row r="182" spans="1:13" ht="12.75">
      <c r="A182" s="427"/>
      <c r="B182" s="428"/>
      <c r="C182" s="428"/>
      <c r="D182" s="428"/>
      <c r="E182" s="428"/>
      <c r="F182" s="428"/>
      <c r="G182" s="428"/>
      <c r="H182" s="428"/>
      <c r="I182" s="428"/>
      <c r="J182" s="428"/>
      <c r="K182" s="428"/>
      <c r="L182" s="428"/>
      <c r="M182" s="428"/>
    </row>
    <row r="183" spans="1:13" ht="12.75">
      <c r="A183" s="427"/>
      <c r="B183" s="428"/>
      <c r="C183" s="428"/>
      <c r="D183" s="428"/>
      <c r="E183" s="428"/>
      <c r="F183" s="428"/>
      <c r="G183" s="428"/>
      <c r="H183" s="428"/>
      <c r="I183" s="428"/>
      <c r="J183" s="428"/>
      <c r="K183" s="428"/>
      <c r="L183" s="428"/>
      <c r="M183" s="428"/>
    </row>
    <row r="184" spans="1:13" ht="12.75">
      <c r="A184" s="427"/>
      <c r="B184" s="428"/>
      <c r="C184" s="428"/>
      <c r="D184" s="428"/>
      <c r="E184" s="428"/>
      <c r="F184" s="428"/>
      <c r="G184" s="428"/>
      <c r="H184" s="428"/>
      <c r="I184" s="428"/>
      <c r="J184" s="428"/>
      <c r="K184" s="428"/>
      <c r="L184" s="428"/>
      <c r="M184" s="428"/>
    </row>
    <row r="185" spans="1:28" ht="12.75">
      <c r="A185" s="427"/>
      <c r="B185" s="428"/>
      <c r="C185" s="428"/>
      <c r="D185" s="428"/>
      <c r="E185" s="428"/>
      <c r="F185" s="428"/>
      <c r="G185" s="428"/>
      <c r="H185" s="428"/>
      <c r="I185" s="428"/>
      <c r="J185" s="428"/>
      <c r="K185" s="428"/>
      <c r="L185" s="428"/>
      <c r="M185" s="428"/>
      <c r="AB185" s="6"/>
    </row>
    <row r="186" spans="1:13" ht="12.75">
      <c r="A186" s="427"/>
      <c r="B186" s="428"/>
      <c r="C186" s="428"/>
      <c r="D186" s="428"/>
      <c r="E186" s="428"/>
      <c r="F186" s="428"/>
      <c r="G186" s="428"/>
      <c r="H186" s="428"/>
      <c r="I186" s="428"/>
      <c r="J186" s="428"/>
      <c r="K186" s="428"/>
      <c r="L186" s="428"/>
      <c r="M186" s="428"/>
    </row>
    <row r="187" spans="1:13" ht="12.75">
      <c r="A187" s="427"/>
      <c r="B187" s="428"/>
      <c r="C187" s="428"/>
      <c r="D187" s="428"/>
      <c r="E187" s="428"/>
      <c r="F187" s="428"/>
      <c r="G187" s="428"/>
      <c r="H187" s="428"/>
      <c r="I187" s="428"/>
      <c r="J187" s="428"/>
      <c r="K187" s="428"/>
      <c r="L187" s="428"/>
      <c r="M187" s="428"/>
    </row>
    <row r="188" spans="1:13" ht="12.75">
      <c r="A188" s="427"/>
      <c r="B188" s="428"/>
      <c r="C188" s="428"/>
      <c r="D188" s="428"/>
      <c r="E188" s="428"/>
      <c r="F188" s="428"/>
      <c r="G188" s="428"/>
      <c r="H188" s="428"/>
      <c r="I188" s="428"/>
      <c r="J188" s="428"/>
      <c r="K188" s="428"/>
      <c r="L188" s="428"/>
      <c r="M188" s="428"/>
    </row>
    <row r="189" spans="1:13" ht="12.75">
      <c r="A189" s="427"/>
      <c r="B189" s="428"/>
      <c r="C189" s="428"/>
      <c r="D189" s="428"/>
      <c r="E189" s="428"/>
      <c r="F189" s="428"/>
      <c r="G189" s="428"/>
      <c r="H189" s="428"/>
      <c r="I189" s="428"/>
      <c r="J189" s="428"/>
      <c r="K189" s="428"/>
      <c r="L189" s="428"/>
      <c r="M189" s="428"/>
    </row>
    <row r="190" spans="1:13" ht="12.75">
      <c r="A190" s="427"/>
      <c r="B190" s="428"/>
      <c r="C190" s="428"/>
      <c r="D190" s="428"/>
      <c r="E190" s="428"/>
      <c r="F190" s="428"/>
      <c r="G190" s="428"/>
      <c r="H190" s="428"/>
      <c r="I190" s="428"/>
      <c r="J190" s="428"/>
      <c r="K190" s="428"/>
      <c r="L190" s="428"/>
      <c r="M190" s="428"/>
    </row>
    <row r="191" spans="1:13" ht="12.75">
      <c r="A191" s="427"/>
      <c r="B191" s="428"/>
      <c r="C191" s="428"/>
      <c r="D191" s="428"/>
      <c r="E191" s="428"/>
      <c r="F191" s="428"/>
      <c r="G191" s="428"/>
      <c r="H191" s="428"/>
      <c r="I191" s="428"/>
      <c r="J191" s="428"/>
      <c r="K191" s="428"/>
      <c r="L191" s="428"/>
      <c r="M191" s="428"/>
    </row>
    <row r="192" spans="1:13" ht="12.75">
      <c r="A192" s="427"/>
      <c r="B192" s="428"/>
      <c r="C192" s="428"/>
      <c r="D192" s="428"/>
      <c r="E192" s="428"/>
      <c r="F192" s="428"/>
      <c r="G192" s="428"/>
      <c r="H192" s="428"/>
      <c r="I192" s="428"/>
      <c r="J192" s="428"/>
      <c r="K192" s="428"/>
      <c r="L192" s="428"/>
      <c r="M192" s="428"/>
    </row>
    <row r="193" spans="1:13" ht="12.75">
      <c r="A193" s="427"/>
      <c r="B193" s="428"/>
      <c r="C193" s="428"/>
      <c r="D193" s="428"/>
      <c r="E193" s="428"/>
      <c r="F193" s="428"/>
      <c r="G193" s="428"/>
      <c r="H193" s="428"/>
      <c r="I193" s="428"/>
      <c r="J193" s="428"/>
      <c r="K193" s="428"/>
      <c r="L193" s="428"/>
      <c r="M193" s="428"/>
    </row>
    <row r="194" spans="1:13" ht="12.75">
      <c r="A194" s="427"/>
      <c r="B194" s="428"/>
      <c r="C194" s="428"/>
      <c r="D194" s="428"/>
      <c r="E194" s="428"/>
      <c r="F194" s="428"/>
      <c r="G194" s="428"/>
      <c r="H194" s="428"/>
      <c r="I194" s="428"/>
      <c r="J194" s="428"/>
      <c r="K194" s="428"/>
      <c r="L194" s="428"/>
      <c r="M194" s="428"/>
    </row>
    <row r="195" spans="1:28" ht="12.75">
      <c r="A195" s="427"/>
      <c r="B195" s="428"/>
      <c r="C195" s="428"/>
      <c r="D195" s="428"/>
      <c r="E195" s="428"/>
      <c r="F195" s="428"/>
      <c r="G195" s="428"/>
      <c r="H195" s="428"/>
      <c r="I195" s="428"/>
      <c r="J195" s="428"/>
      <c r="K195" s="428"/>
      <c r="L195" s="428"/>
      <c r="M195" s="428"/>
      <c r="AB195" s="6"/>
    </row>
    <row r="196" spans="1:13" ht="12.75">
      <c r="A196" s="427"/>
      <c r="B196" s="428"/>
      <c r="C196" s="428"/>
      <c r="D196" s="428"/>
      <c r="E196" s="428"/>
      <c r="F196" s="428"/>
      <c r="G196" s="428"/>
      <c r="H196" s="428"/>
      <c r="I196" s="428"/>
      <c r="J196" s="428"/>
      <c r="K196" s="428"/>
      <c r="L196" s="428"/>
      <c r="M196" s="428"/>
    </row>
    <row r="197" spans="1:13" ht="12.75">
      <c r="A197" s="427"/>
      <c r="B197" s="428"/>
      <c r="C197" s="428"/>
      <c r="D197" s="428"/>
      <c r="E197" s="428"/>
      <c r="F197" s="428"/>
      <c r="G197" s="428"/>
      <c r="H197" s="428"/>
      <c r="I197" s="428"/>
      <c r="J197" s="428"/>
      <c r="K197" s="428"/>
      <c r="L197" s="428"/>
      <c r="M197" s="428"/>
    </row>
    <row r="198" spans="1:13" ht="12.75">
      <c r="A198" s="427"/>
      <c r="B198" s="428"/>
      <c r="C198" s="428"/>
      <c r="D198" s="428"/>
      <c r="E198" s="428"/>
      <c r="F198" s="428"/>
      <c r="G198" s="428"/>
      <c r="H198" s="428"/>
      <c r="I198" s="428"/>
      <c r="J198" s="428"/>
      <c r="K198" s="428"/>
      <c r="L198" s="428"/>
      <c r="M198" s="428"/>
    </row>
    <row r="199" spans="1:13" ht="12.75">
      <c r="A199" s="427"/>
      <c r="B199" s="428"/>
      <c r="C199" s="428"/>
      <c r="D199" s="428"/>
      <c r="E199" s="428"/>
      <c r="F199" s="428"/>
      <c r="G199" s="428"/>
      <c r="H199" s="428"/>
      <c r="I199" s="428"/>
      <c r="J199" s="428"/>
      <c r="K199" s="428"/>
      <c r="L199" s="428"/>
      <c r="M199" s="428"/>
    </row>
    <row r="200" spans="1:13" ht="12.75">
      <c r="A200" s="427"/>
      <c r="B200" s="428"/>
      <c r="C200" s="428"/>
      <c r="D200" s="428"/>
      <c r="E200" s="428"/>
      <c r="F200" s="428"/>
      <c r="G200" s="428"/>
      <c r="H200" s="428"/>
      <c r="I200" s="428"/>
      <c r="J200" s="428"/>
      <c r="K200" s="428"/>
      <c r="L200" s="428"/>
      <c r="M200" s="428"/>
    </row>
    <row r="201" spans="1:13" ht="12.75">
      <c r="A201" s="427"/>
      <c r="B201" s="428"/>
      <c r="C201" s="428"/>
      <c r="D201" s="428"/>
      <c r="E201" s="428"/>
      <c r="F201" s="428"/>
      <c r="G201" s="428"/>
      <c r="H201" s="428"/>
      <c r="I201" s="428"/>
      <c r="J201" s="428"/>
      <c r="K201" s="428"/>
      <c r="L201" s="428"/>
      <c r="M201" s="428"/>
    </row>
    <row r="202" spans="1:13" ht="12.75">
      <c r="A202" s="427"/>
      <c r="B202" s="428"/>
      <c r="C202" s="428"/>
      <c r="D202" s="428"/>
      <c r="E202" s="428"/>
      <c r="F202" s="428"/>
      <c r="G202" s="428"/>
      <c r="H202" s="428"/>
      <c r="I202" s="428"/>
      <c r="J202" s="428"/>
      <c r="K202" s="428"/>
      <c r="L202" s="428"/>
      <c r="M202" s="428"/>
    </row>
    <row r="203" spans="1:13" ht="12.75">
      <c r="A203" s="427"/>
      <c r="B203" s="428"/>
      <c r="C203" s="428"/>
      <c r="D203" s="428"/>
      <c r="E203" s="428"/>
      <c r="F203" s="428"/>
      <c r="G203" s="428"/>
      <c r="H203" s="428"/>
      <c r="I203" s="428"/>
      <c r="J203" s="428"/>
      <c r="K203" s="428"/>
      <c r="L203" s="428"/>
      <c r="M203" s="428"/>
    </row>
    <row r="204" spans="1:13" ht="12.75">
      <c r="A204" s="427"/>
      <c r="B204" s="428"/>
      <c r="C204" s="428"/>
      <c r="D204" s="428"/>
      <c r="E204" s="428"/>
      <c r="F204" s="428"/>
      <c r="G204" s="428"/>
      <c r="H204" s="428"/>
      <c r="I204" s="428"/>
      <c r="J204" s="428"/>
      <c r="K204" s="428"/>
      <c r="L204" s="428"/>
      <c r="M204" s="428"/>
    </row>
    <row r="205" spans="1:13" ht="12.75">
      <c r="A205" s="427"/>
      <c r="B205" s="428"/>
      <c r="C205" s="428"/>
      <c r="D205" s="428"/>
      <c r="E205" s="428"/>
      <c r="F205" s="428"/>
      <c r="G205" s="428"/>
      <c r="H205" s="428"/>
      <c r="I205" s="428"/>
      <c r="J205" s="428"/>
      <c r="K205" s="428"/>
      <c r="L205" s="428"/>
      <c r="M205" s="428"/>
    </row>
    <row r="206" spans="1:13" ht="12.75">
      <c r="A206" s="427"/>
      <c r="B206" s="428"/>
      <c r="C206" s="428"/>
      <c r="D206" s="428"/>
      <c r="E206" s="428"/>
      <c r="F206" s="428"/>
      <c r="G206" s="428"/>
      <c r="H206" s="428"/>
      <c r="I206" s="428"/>
      <c r="J206" s="428"/>
      <c r="K206" s="428"/>
      <c r="L206" s="428"/>
      <c r="M206" s="428"/>
    </row>
    <row r="207" spans="1:13" ht="12.75">
      <c r="A207" s="427"/>
      <c r="B207" s="428"/>
      <c r="C207" s="428"/>
      <c r="D207" s="428"/>
      <c r="E207" s="428"/>
      <c r="F207" s="428"/>
      <c r="G207" s="428"/>
      <c r="H207" s="428"/>
      <c r="I207" s="428"/>
      <c r="J207" s="428"/>
      <c r="K207" s="428"/>
      <c r="L207" s="428"/>
      <c r="M207" s="428"/>
    </row>
    <row r="208" spans="1:13" ht="12.75">
      <c r="A208" s="427"/>
      <c r="B208" s="428"/>
      <c r="C208" s="428"/>
      <c r="D208" s="428"/>
      <c r="E208" s="428"/>
      <c r="F208" s="428"/>
      <c r="G208" s="428"/>
      <c r="H208" s="428"/>
      <c r="I208" s="428"/>
      <c r="J208" s="428"/>
      <c r="K208" s="428"/>
      <c r="L208" s="428"/>
      <c r="M208" s="428"/>
    </row>
    <row r="209" spans="1:13" ht="12.75">
      <c r="A209" s="427"/>
      <c r="B209" s="428"/>
      <c r="C209" s="428"/>
      <c r="D209" s="428"/>
      <c r="E209" s="428"/>
      <c r="F209" s="428"/>
      <c r="G209" s="428"/>
      <c r="H209" s="428"/>
      <c r="I209" s="428"/>
      <c r="J209" s="428"/>
      <c r="K209" s="428"/>
      <c r="L209" s="428"/>
      <c r="M209" s="428"/>
    </row>
    <row r="210" spans="1:13" ht="12.75">
      <c r="A210" s="427"/>
      <c r="B210" s="428"/>
      <c r="C210" s="428"/>
      <c r="D210" s="428"/>
      <c r="E210" s="428"/>
      <c r="F210" s="428"/>
      <c r="G210" s="428"/>
      <c r="H210" s="428"/>
      <c r="I210" s="428"/>
      <c r="J210" s="428"/>
      <c r="K210" s="428"/>
      <c r="L210" s="428"/>
      <c r="M210" s="428"/>
    </row>
    <row r="211" spans="1:28" ht="12.75">
      <c r="A211" s="427"/>
      <c r="B211" s="428"/>
      <c r="C211" s="428"/>
      <c r="D211" s="428"/>
      <c r="E211" s="428"/>
      <c r="F211" s="428"/>
      <c r="G211" s="428"/>
      <c r="H211" s="428"/>
      <c r="I211" s="428"/>
      <c r="J211" s="428"/>
      <c r="K211" s="428"/>
      <c r="L211" s="428"/>
      <c r="M211" s="428"/>
      <c r="AB211" s="6"/>
    </row>
    <row r="212" spans="1:13" ht="12.75">
      <c r="A212" s="427"/>
      <c r="B212" s="428"/>
      <c r="C212" s="428"/>
      <c r="D212" s="428"/>
      <c r="E212" s="428"/>
      <c r="F212" s="428"/>
      <c r="G212" s="428"/>
      <c r="H212" s="428"/>
      <c r="I212" s="428"/>
      <c r="J212" s="428"/>
      <c r="K212" s="428"/>
      <c r="L212" s="428"/>
      <c r="M212" s="428"/>
    </row>
    <row r="213" spans="1:13" ht="12.75">
      <c r="A213" s="427"/>
      <c r="B213" s="428"/>
      <c r="C213" s="428"/>
      <c r="D213" s="428"/>
      <c r="E213" s="428"/>
      <c r="F213" s="428"/>
      <c r="G213" s="428"/>
      <c r="H213" s="428"/>
      <c r="I213" s="428"/>
      <c r="J213" s="428"/>
      <c r="K213" s="428"/>
      <c r="L213" s="428"/>
      <c r="M213" s="428"/>
    </row>
    <row r="214" spans="1:13" ht="12.75">
      <c r="A214" s="427"/>
      <c r="B214" s="428"/>
      <c r="C214" s="428"/>
      <c r="D214" s="428"/>
      <c r="E214" s="428"/>
      <c r="F214" s="428"/>
      <c r="G214" s="428"/>
      <c r="H214" s="428"/>
      <c r="I214" s="428"/>
      <c r="J214" s="428"/>
      <c r="K214" s="428"/>
      <c r="L214" s="428"/>
      <c r="M214" s="428"/>
    </row>
    <row r="215" spans="1:13" ht="12.75">
      <c r="A215" s="427"/>
      <c r="B215" s="428"/>
      <c r="C215" s="428"/>
      <c r="D215" s="428"/>
      <c r="E215" s="428"/>
      <c r="F215" s="428"/>
      <c r="G215" s="428"/>
      <c r="H215" s="428"/>
      <c r="I215" s="428"/>
      <c r="J215" s="428"/>
      <c r="K215" s="428"/>
      <c r="L215" s="428"/>
      <c r="M215" s="428"/>
    </row>
    <row r="216" spans="1:13" ht="12.75">
      <c r="A216" s="427"/>
      <c r="B216" s="428"/>
      <c r="C216" s="428"/>
      <c r="D216" s="428"/>
      <c r="E216" s="428"/>
      <c r="F216" s="428"/>
      <c r="G216" s="428"/>
      <c r="H216" s="428"/>
      <c r="I216" s="428"/>
      <c r="J216" s="428"/>
      <c r="K216" s="428"/>
      <c r="L216" s="428"/>
      <c r="M216" s="428"/>
    </row>
    <row r="217" spans="1:13" ht="12.75">
      <c r="A217" s="427"/>
      <c r="B217" s="428"/>
      <c r="C217" s="428"/>
      <c r="D217" s="428"/>
      <c r="E217" s="428"/>
      <c r="F217" s="428"/>
      <c r="G217" s="428"/>
      <c r="H217" s="428"/>
      <c r="I217" s="428"/>
      <c r="J217" s="428"/>
      <c r="K217" s="428"/>
      <c r="L217" s="428"/>
      <c r="M217" s="428"/>
    </row>
    <row r="218" spans="1:13" ht="12.75">
      <c r="A218" s="427"/>
      <c r="B218" s="428"/>
      <c r="C218" s="428"/>
      <c r="D218" s="428"/>
      <c r="E218" s="428"/>
      <c r="F218" s="428"/>
      <c r="G218" s="428"/>
      <c r="H218" s="428"/>
      <c r="I218" s="428"/>
      <c r="J218" s="428"/>
      <c r="K218" s="428"/>
      <c r="L218" s="428"/>
      <c r="M218" s="428"/>
    </row>
    <row r="219" spans="1:13" ht="12.75">
      <c r="A219" s="427"/>
      <c r="B219" s="428"/>
      <c r="C219" s="428"/>
      <c r="D219" s="428"/>
      <c r="E219" s="428"/>
      <c r="F219" s="428"/>
      <c r="G219" s="428"/>
      <c r="H219" s="428"/>
      <c r="I219" s="428"/>
      <c r="J219" s="428"/>
      <c r="K219" s="428"/>
      <c r="L219" s="428"/>
      <c r="M219" s="428"/>
    </row>
    <row r="220" spans="1:13" ht="12.75">
      <c r="A220" s="427"/>
      <c r="B220" s="428"/>
      <c r="C220" s="428"/>
      <c r="D220" s="428"/>
      <c r="E220" s="428"/>
      <c r="F220" s="428"/>
      <c r="G220" s="428"/>
      <c r="H220" s="428"/>
      <c r="I220" s="428"/>
      <c r="J220" s="428"/>
      <c r="K220" s="428"/>
      <c r="L220" s="428"/>
      <c r="M220" s="428"/>
    </row>
    <row r="221" spans="1:13" ht="12.75">
      <c r="A221" s="427"/>
      <c r="B221" s="428"/>
      <c r="C221" s="428"/>
      <c r="D221" s="428"/>
      <c r="E221" s="428"/>
      <c r="F221" s="428"/>
      <c r="G221" s="428"/>
      <c r="H221" s="428"/>
      <c r="I221" s="428"/>
      <c r="J221" s="428"/>
      <c r="K221" s="428"/>
      <c r="L221" s="428"/>
      <c r="M221" s="428"/>
    </row>
    <row r="222" spans="1:13" ht="12.75">
      <c r="A222" s="427"/>
      <c r="B222" s="428"/>
      <c r="C222" s="428"/>
      <c r="D222" s="428"/>
      <c r="E222" s="428"/>
      <c r="F222" s="428"/>
      <c r="G222" s="428"/>
      <c r="H222" s="428"/>
      <c r="I222" s="428"/>
      <c r="J222" s="428"/>
      <c r="K222" s="428"/>
      <c r="L222" s="428"/>
      <c r="M222" s="428"/>
    </row>
    <row r="223" spans="1:13" ht="12.75">
      <c r="A223" s="427"/>
      <c r="B223" s="428"/>
      <c r="C223" s="428"/>
      <c r="D223" s="428"/>
      <c r="E223" s="428"/>
      <c r="F223" s="428"/>
      <c r="G223" s="428"/>
      <c r="H223" s="428"/>
      <c r="I223" s="428"/>
      <c r="J223" s="428"/>
      <c r="K223" s="428"/>
      <c r="L223" s="428"/>
      <c r="M223" s="428"/>
    </row>
    <row r="224" spans="1:13" ht="12.75">
      <c r="A224" s="427"/>
      <c r="B224" s="428"/>
      <c r="C224" s="428"/>
      <c r="D224" s="428"/>
      <c r="E224" s="428"/>
      <c r="F224" s="428"/>
      <c r="G224" s="428"/>
      <c r="H224" s="428"/>
      <c r="I224" s="428"/>
      <c r="J224" s="428"/>
      <c r="K224" s="428"/>
      <c r="L224" s="428"/>
      <c r="M224" s="428"/>
    </row>
    <row r="225" spans="1:13" ht="12.75">
      <c r="A225" s="427"/>
      <c r="B225" s="428"/>
      <c r="C225" s="428"/>
      <c r="D225" s="428"/>
      <c r="E225" s="428"/>
      <c r="F225" s="428"/>
      <c r="G225" s="428"/>
      <c r="H225" s="428"/>
      <c r="I225" s="428"/>
      <c r="J225" s="428"/>
      <c r="K225" s="428"/>
      <c r="L225" s="428"/>
      <c r="M225" s="428"/>
    </row>
    <row r="226" spans="1:13" ht="12.75">
      <c r="A226" s="427"/>
      <c r="B226" s="428"/>
      <c r="C226" s="428"/>
      <c r="D226" s="428"/>
      <c r="E226" s="428"/>
      <c r="F226" s="428"/>
      <c r="G226" s="428"/>
      <c r="H226" s="428"/>
      <c r="I226" s="428"/>
      <c r="J226" s="428"/>
      <c r="K226" s="428"/>
      <c r="L226" s="428"/>
      <c r="M226" s="428"/>
    </row>
    <row r="227" spans="1:32" ht="12.75">
      <c r="A227" s="427"/>
      <c r="B227" s="428"/>
      <c r="C227" s="428"/>
      <c r="D227" s="428"/>
      <c r="E227" s="428"/>
      <c r="F227" s="428"/>
      <c r="G227" s="428"/>
      <c r="H227" s="428"/>
      <c r="I227" s="428"/>
      <c r="J227" s="428"/>
      <c r="K227" s="428"/>
      <c r="L227" s="428"/>
      <c r="M227" s="428"/>
      <c r="AA227" s="6"/>
      <c r="AB227" s="6"/>
      <c r="AF227" s="6"/>
    </row>
    <row r="228" spans="1:13" ht="12.75">
      <c r="A228" s="427"/>
      <c r="B228" s="428"/>
      <c r="C228" s="428"/>
      <c r="D228" s="428"/>
      <c r="E228" s="428"/>
      <c r="F228" s="428"/>
      <c r="G228" s="428"/>
      <c r="H228" s="428"/>
      <c r="I228" s="428"/>
      <c r="J228" s="428"/>
      <c r="K228" s="428"/>
      <c r="L228" s="428"/>
      <c r="M228" s="428"/>
    </row>
    <row r="229" spans="1:13" ht="12.75">
      <c r="A229" s="427"/>
      <c r="B229" s="428"/>
      <c r="C229" s="428"/>
      <c r="D229" s="428"/>
      <c r="E229" s="428"/>
      <c r="F229" s="428"/>
      <c r="G229" s="428"/>
      <c r="H229" s="428"/>
      <c r="I229" s="428"/>
      <c r="J229" s="428"/>
      <c r="K229" s="428"/>
      <c r="L229" s="428"/>
      <c r="M229" s="428"/>
    </row>
    <row r="230" spans="1:13" ht="12.75">
      <c r="A230" s="427"/>
      <c r="B230" s="428"/>
      <c r="C230" s="428"/>
      <c r="D230" s="428"/>
      <c r="E230" s="428"/>
      <c r="F230" s="428"/>
      <c r="G230" s="428"/>
      <c r="H230" s="428"/>
      <c r="I230" s="428"/>
      <c r="J230" s="428"/>
      <c r="K230" s="428"/>
      <c r="L230" s="428"/>
      <c r="M230" s="428"/>
    </row>
    <row r="231" spans="1:13" ht="12.75">
      <c r="A231" s="427"/>
      <c r="B231" s="428"/>
      <c r="C231" s="428"/>
      <c r="D231" s="428"/>
      <c r="E231" s="428"/>
      <c r="F231" s="428"/>
      <c r="G231" s="428"/>
      <c r="H231" s="428"/>
      <c r="I231" s="428"/>
      <c r="J231" s="428"/>
      <c r="K231" s="428"/>
      <c r="L231" s="428"/>
      <c r="M231" s="428"/>
    </row>
    <row r="232" spans="1:13" ht="12.75">
      <c r="A232" s="427"/>
      <c r="B232" s="428"/>
      <c r="C232" s="428"/>
      <c r="D232" s="428"/>
      <c r="E232" s="428"/>
      <c r="F232" s="428"/>
      <c r="G232" s="428"/>
      <c r="H232" s="428"/>
      <c r="I232" s="428"/>
      <c r="J232" s="428"/>
      <c r="K232" s="428"/>
      <c r="L232" s="428"/>
      <c r="M232" s="428"/>
    </row>
    <row r="233" spans="1:13" ht="12.75">
      <c r="A233" s="427"/>
      <c r="B233" s="428"/>
      <c r="C233" s="428"/>
      <c r="D233" s="428"/>
      <c r="E233" s="428"/>
      <c r="F233" s="428"/>
      <c r="G233" s="428"/>
      <c r="H233" s="428"/>
      <c r="I233" s="428"/>
      <c r="J233" s="428"/>
      <c r="K233" s="428"/>
      <c r="L233" s="428"/>
      <c r="M233" s="428"/>
    </row>
    <row r="234" spans="1:13" ht="12.75">
      <c r="A234" s="427"/>
      <c r="B234" s="428"/>
      <c r="C234" s="428"/>
      <c r="D234" s="428"/>
      <c r="E234" s="428"/>
      <c r="F234" s="428"/>
      <c r="G234" s="428"/>
      <c r="H234" s="428"/>
      <c r="I234" s="428"/>
      <c r="J234" s="428"/>
      <c r="K234" s="428"/>
      <c r="L234" s="428"/>
      <c r="M234" s="428"/>
    </row>
    <row r="235" spans="1:13" ht="12.75">
      <c r="A235" s="427"/>
      <c r="B235" s="428"/>
      <c r="C235" s="428"/>
      <c r="D235" s="428"/>
      <c r="E235" s="428"/>
      <c r="F235" s="428"/>
      <c r="G235" s="428"/>
      <c r="H235" s="428"/>
      <c r="I235" s="428"/>
      <c r="J235" s="428"/>
      <c r="K235" s="428"/>
      <c r="L235" s="428"/>
      <c r="M235" s="428"/>
    </row>
    <row r="236" spans="1:13" ht="12.75">
      <c r="A236" s="427"/>
      <c r="B236" s="428"/>
      <c r="C236" s="428"/>
      <c r="D236" s="428"/>
      <c r="E236" s="428"/>
      <c r="F236" s="428"/>
      <c r="G236" s="428"/>
      <c r="H236" s="428"/>
      <c r="I236" s="428"/>
      <c r="J236" s="428"/>
      <c r="K236" s="428"/>
      <c r="L236" s="428"/>
      <c r="M236" s="428"/>
    </row>
    <row r="237" spans="1:13" ht="12.75">
      <c r="A237" s="427"/>
      <c r="B237" s="428"/>
      <c r="C237" s="428"/>
      <c r="D237" s="428"/>
      <c r="E237" s="428"/>
      <c r="F237" s="428"/>
      <c r="G237" s="428"/>
      <c r="H237" s="428"/>
      <c r="I237" s="428"/>
      <c r="J237" s="428"/>
      <c r="K237" s="428"/>
      <c r="L237" s="428"/>
      <c r="M237" s="428"/>
    </row>
    <row r="238" spans="1:13" ht="12.75">
      <c r="A238" s="427"/>
      <c r="B238" s="428"/>
      <c r="C238" s="428"/>
      <c r="D238" s="428"/>
      <c r="E238" s="428"/>
      <c r="F238" s="428"/>
      <c r="G238" s="428"/>
      <c r="H238" s="428"/>
      <c r="I238" s="428"/>
      <c r="J238" s="428"/>
      <c r="K238" s="428"/>
      <c r="L238" s="428"/>
      <c r="M238" s="428"/>
    </row>
    <row r="239" spans="1:13" ht="12.75">
      <c r="A239" s="427"/>
      <c r="B239" s="428"/>
      <c r="C239" s="428"/>
      <c r="D239" s="428"/>
      <c r="E239" s="428"/>
      <c r="F239" s="428"/>
      <c r="G239" s="428"/>
      <c r="H239" s="428"/>
      <c r="I239" s="428"/>
      <c r="J239" s="428"/>
      <c r="K239" s="428"/>
      <c r="L239" s="428"/>
      <c r="M239" s="428"/>
    </row>
    <row r="240" spans="1:13" ht="12.75">
      <c r="A240" s="427"/>
      <c r="B240" s="428"/>
      <c r="C240" s="428"/>
      <c r="D240" s="428"/>
      <c r="E240" s="428"/>
      <c r="F240" s="428"/>
      <c r="G240" s="428"/>
      <c r="H240" s="428"/>
      <c r="I240" s="428"/>
      <c r="J240" s="428"/>
      <c r="K240" s="428"/>
      <c r="L240" s="428"/>
      <c r="M240" s="428"/>
    </row>
    <row r="241" spans="1:13" ht="12.75">
      <c r="A241" s="427"/>
      <c r="B241" s="428"/>
      <c r="C241" s="428"/>
      <c r="D241" s="428"/>
      <c r="E241" s="428"/>
      <c r="F241" s="428"/>
      <c r="G241" s="428"/>
      <c r="H241" s="428"/>
      <c r="I241" s="428"/>
      <c r="J241" s="428"/>
      <c r="K241" s="428"/>
      <c r="L241" s="428"/>
      <c r="M241" s="428"/>
    </row>
    <row r="242" spans="1:13" ht="12.75">
      <c r="A242" s="427"/>
      <c r="B242" s="428"/>
      <c r="C242" s="428"/>
      <c r="D242" s="428"/>
      <c r="E242" s="428"/>
      <c r="F242" s="428"/>
      <c r="G242" s="428"/>
      <c r="H242" s="428"/>
      <c r="I242" s="428"/>
      <c r="J242" s="428"/>
      <c r="K242" s="428"/>
      <c r="L242" s="428"/>
      <c r="M242" s="428"/>
    </row>
    <row r="243" spans="1:13" ht="12.75">
      <c r="A243" s="427"/>
      <c r="B243" s="428"/>
      <c r="C243" s="428"/>
      <c r="D243" s="428"/>
      <c r="E243" s="428"/>
      <c r="F243" s="428"/>
      <c r="G243" s="428"/>
      <c r="H243" s="428"/>
      <c r="I243" s="428"/>
      <c r="J243" s="428"/>
      <c r="K243" s="428"/>
      <c r="L243" s="428"/>
      <c r="M243" s="428"/>
    </row>
    <row r="244" spans="1:13" ht="12.75">
      <c r="A244" s="427"/>
      <c r="B244" s="428"/>
      <c r="C244" s="428"/>
      <c r="D244" s="428"/>
      <c r="E244" s="428"/>
      <c r="F244" s="428"/>
      <c r="G244" s="428"/>
      <c r="H244" s="428"/>
      <c r="I244" s="428"/>
      <c r="J244" s="428"/>
      <c r="K244" s="428"/>
      <c r="L244" s="428"/>
      <c r="M244" s="428"/>
    </row>
    <row r="245" spans="1:13" ht="12.75">
      <c r="A245" s="427"/>
      <c r="B245" s="428"/>
      <c r="C245" s="428"/>
      <c r="D245" s="428"/>
      <c r="E245" s="428"/>
      <c r="F245" s="428"/>
      <c r="G245" s="428"/>
      <c r="H245" s="428"/>
      <c r="I245" s="428"/>
      <c r="J245" s="428"/>
      <c r="K245" s="428"/>
      <c r="L245" s="428"/>
      <c r="M245" s="428"/>
    </row>
    <row r="246" spans="1:13" ht="12.75">
      <c r="A246" s="427"/>
      <c r="B246" s="428"/>
      <c r="C246" s="428"/>
      <c r="D246" s="428"/>
      <c r="E246" s="428"/>
      <c r="F246" s="428"/>
      <c r="G246" s="428"/>
      <c r="H246" s="428"/>
      <c r="I246" s="428"/>
      <c r="J246" s="428"/>
      <c r="K246" s="428"/>
      <c r="L246" s="428"/>
      <c r="M246" s="428"/>
    </row>
    <row r="247" spans="1:13" ht="12.75">
      <c r="A247" s="427"/>
      <c r="B247" s="428"/>
      <c r="C247" s="428"/>
      <c r="D247" s="428"/>
      <c r="E247" s="428"/>
      <c r="F247" s="428"/>
      <c r="G247" s="428"/>
      <c r="H247" s="428"/>
      <c r="I247" s="428"/>
      <c r="J247" s="428"/>
      <c r="K247" s="428"/>
      <c r="L247" s="428"/>
      <c r="M247" s="428"/>
    </row>
    <row r="248" spans="1:13" ht="12.75">
      <c r="A248" s="427"/>
      <c r="B248" s="428"/>
      <c r="C248" s="428"/>
      <c r="D248" s="428"/>
      <c r="E248" s="428"/>
      <c r="F248" s="428"/>
      <c r="G248" s="428"/>
      <c r="H248" s="428"/>
      <c r="I248" s="428"/>
      <c r="J248" s="428"/>
      <c r="K248" s="428"/>
      <c r="L248" s="428"/>
      <c r="M248" s="428"/>
    </row>
    <row r="249" spans="1:13" ht="12.75">
      <c r="A249" s="427"/>
      <c r="B249" s="428"/>
      <c r="C249" s="428"/>
      <c r="D249" s="428"/>
      <c r="E249" s="428"/>
      <c r="F249" s="428"/>
      <c r="G249" s="428"/>
      <c r="H249" s="428"/>
      <c r="I249" s="428"/>
      <c r="J249" s="428"/>
      <c r="K249" s="428"/>
      <c r="L249" s="428"/>
      <c r="M249" s="428"/>
    </row>
    <row r="250" spans="1:13" ht="12.75">
      <c r="A250" s="427"/>
      <c r="B250" s="428"/>
      <c r="C250" s="428"/>
      <c r="D250" s="428"/>
      <c r="E250" s="428"/>
      <c r="F250" s="428"/>
      <c r="G250" s="428"/>
      <c r="H250" s="428"/>
      <c r="I250" s="428"/>
      <c r="J250" s="428"/>
      <c r="K250" s="428"/>
      <c r="L250" s="428"/>
      <c r="M250" s="428"/>
    </row>
    <row r="251" spans="1:13" ht="12.75">
      <c r="A251" s="427"/>
      <c r="B251" s="428"/>
      <c r="C251" s="428"/>
      <c r="D251" s="428"/>
      <c r="E251" s="428"/>
      <c r="F251" s="428"/>
      <c r="G251" s="428"/>
      <c r="H251" s="428"/>
      <c r="I251" s="428"/>
      <c r="J251" s="428"/>
      <c r="K251" s="428"/>
      <c r="L251" s="428"/>
      <c r="M251" s="428"/>
    </row>
    <row r="252" spans="1:13" ht="12.75">
      <c r="A252" s="427"/>
      <c r="B252" s="428"/>
      <c r="C252" s="428"/>
      <c r="D252" s="428"/>
      <c r="E252" s="428"/>
      <c r="F252" s="428"/>
      <c r="G252" s="428"/>
      <c r="H252" s="428"/>
      <c r="I252" s="428"/>
      <c r="J252" s="428"/>
      <c r="K252" s="428"/>
      <c r="L252" s="428"/>
      <c r="M252" s="428"/>
    </row>
    <row r="253" spans="1:13" ht="12.75">
      <c r="A253" s="427"/>
      <c r="B253" s="428"/>
      <c r="C253" s="428"/>
      <c r="D253" s="428"/>
      <c r="E253" s="428"/>
      <c r="F253" s="428"/>
      <c r="G253" s="428"/>
      <c r="H253" s="428"/>
      <c r="I253" s="428"/>
      <c r="J253" s="428"/>
      <c r="K253" s="428"/>
      <c r="L253" s="428"/>
      <c r="M253" s="428"/>
    </row>
    <row r="254" spans="1:13" ht="12.75">
      <c r="A254" s="427"/>
      <c r="B254" s="428"/>
      <c r="C254" s="428"/>
      <c r="D254" s="428"/>
      <c r="E254" s="428"/>
      <c r="F254" s="428"/>
      <c r="G254" s="428"/>
      <c r="H254" s="428"/>
      <c r="I254" s="428"/>
      <c r="J254" s="428"/>
      <c r="K254" s="428"/>
      <c r="L254" s="428"/>
      <c r="M254" s="428"/>
    </row>
    <row r="255" spans="1:13" ht="12.75">
      <c r="A255" s="427"/>
      <c r="B255" s="428"/>
      <c r="C255" s="428"/>
      <c r="D255" s="428"/>
      <c r="E255" s="428"/>
      <c r="F255" s="428"/>
      <c r="G255" s="428"/>
      <c r="H255" s="428"/>
      <c r="I255" s="428"/>
      <c r="J255" s="428"/>
      <c r="K255" s="428"/>
      <c r="L255" s="428"/>
      <c r="M255" s="428"/>
    </row>
    <row r="256" spans="1:13" ht="12.75">
      <c r="A256" s="427"/>
      <c r="B256" s="428"/>
      <c r="C256" s="428"/>
      <c r="D256" s="428"/>
      <c r="E256" s="428"/>
      <c r="F256" s="428"/>
      <c r="G256" s="428"/>
      <c r="H256" s="428"/>
      <c r="I256" s="428"/>
      <c r="J256" s="428"/>
      <c r="K256" s="428"/>
      <c r="L256" s="428"/>
      <c r="M256" s="428"/>
    </row>
    <row r="257" spans="1:13" ht="12.75">
      <c r="A257" s="427"/>
      <c r="B257" s="428"/>
      <c r="C257" s="428"/>
      <c r="D257" s="428"/>
      <c r="E257" s="428"/>
      <c r="F257" s="428"/>
      <c r="G257" s="428"/>
      <c r="H257" s="428"/>
      <c r="I257" s="428"/>
      <c r="J257" s="428"/>
      <c r="K257" s="428"/>
      <c r="L257" s="428"/>
      <c r="M257" s="428"/>
    </row>
    <row r="258" spans="1:13" ht="12.75">
      <c r="A258" s="427"/>
      <c r="B258" s="428"/>
      <c r="C258" s="428"/>
      <c r="D258" s="428"/>
      <c r="E258" s="428"/>
      <c r="F258" s="428"/>
      <c r="G258" s="428"/>
      <c r="H258" s="428"/>
      <c r="I258" s="428"/>
      <c r="J258" s="428"/>
      <c r="K258" s="428"/>
      <c r="L258" s="428"/>
      <c r="M258" s="428"/>
    </row>
    <row r="259" spans="1:13" ht="12.75">
      <c r="A259" s="427"/>
      <c r="B259" s="428"/>
      <c r="C259" s="428"/>
      <c r="D259" s="428"/>
      <c r="E259" s="428"/>
      <c r="F259" s="428"/>
      <c r="G259" s="428"/>
      <c r="H259" s="428"/>
      <c r="I259" s="428"/>
      <c r="J259" s="428"/>
      <c r="K259" s="428"/>
      <c r="L259" s="428"/>
      <c r="M259" s="428"/>
    </row>
    <row r="260" spans="1:13" ht="12.75">
      <c r="A260" s="427"/>
      <c r="B260" s="428"/>
      <c r="C260" s="428"/>
      <c r="D260" s="428"/>
      <c r="E260" s="428"/>
      <c r="F260" s="428"/>
      <c r="G260" s="428"/>
      <c r="H260" s="428"/>
      <c r="I260" s="428"/>
      <c r="J260" s="428"/>
      <c r="K260" s="428"/>
      <c r="L260" s="428"/>
      <c r="M260" s="428"/>
    </row>
    <row r="261" spans="1:13" ht="12.75">
      <c r="A261" s="427"/>
      <c r="B261" s="428"/>
      <c r="C261" s="428"/>
      <c r="D261" s="428"/>
      <c r="E261" s="428"/>
      <c r="F261" s="428"/>
      <c r="G261" s="428"/>
      <c r="H261" s="428"/>
      <c r="I261" s="428"/>
      <c r="J261" s="428"/>
      <c r="K261" s="428"/>
      <c r="L261" s="428"/>
      <c r="M261" s="428"/>
    </row>
    <row r="262" spans="1:13" ht="12.75">
      <c r="A262" s="427"/>
      <c r="B262" s="428"/>
      <c r="C262" s="428"/>
      <c r="D262" s="428"/>
      <c r="E262" s="428"/>
      <c r="F262" s="428"/>
      <c r="G262" s="428"/>
      <c r="H262" s="428"/>
      <c r="I262" s="428"/>
      <c r="J262" s="428"/>
      <c r="K262" s="428"/>
      <c r="L262" s="428"/>
      <c r="M262" s="428"/>
    </row>
    <row r="263" spans="1:13" ht="12.75">
      <c r="A263" s="427"/>
      <c r="B263" s="428"/>
      <c r="C263" s="428"/>
      <c r="D263" s="428"/>
      <c r="E263" s="428"/>
      <c r="F263" s="428"/>
      <c r="G263" s="428"/>
      <c r="H263" s="428"/>
      <c r="I263" s="428"/>
      <c r="J263" s="428"/>
      <c r="K263" s="428"/>
      <c r="L263" s="428"/>
      <c r="M263" s="428"/>
    </row>
    <row r="264" spans="1:13" ht="12.75">
      <c r="A264" s="427"/>
      <c r="B264" s="428"/>
      <c r="C264" s="428"/>
      <c r="D264" s="428"/>
      <c r="E264" s="428"/>
      <c r="F264" s="428"/>
      <c r="G264" s="428"/>
      <c r="H264" s="428"/>
      <c r="I264" s="428"/>
      <c r="J264" s="428"/>
      <c r="K264" s="428"/>
      <c r="L264" s="428"/>
      <c r="M264" s="428"/>
    </row>
    <row r="265" spans="1:13" ht="12.75">
      <c r="A265" s="427"/>
      <c r="B265" s="428"/>
      <c r="C265" s="428"/>
      <c r="D265" s="428"/>
      <c r="E265" s="428"/>
      <c r="F265" s="428"/>
      <c r="G265" s="428"/>
      <c r="H265" s="428"/>
      <c r="I265" s="428"/>
      <c r="J265" s="428"/>
      <c r="K265" s="428"/>
      <c r="L265" s="428"/>
      <c r="M265" s="428"/>
    </row>
    <row r="266" spans="1:13" ht="12.75">
      <c r="A266" s="427"/>
      <c r="B266" s="428"/>
      <c r="C266" s="428"/>
      <c r="D266" s="428"/>
      <c r="E266" s="428"/>
      <c r="F266" s="428"/>
      <c r="G266" s="428"/>
      <c r="H266" s="428"/>
      <c r="I266" s="428"/>
      <c r="J266" s="428"/>
      <c r="K266" s="428"/>
      <c r="L266" s="428"/>
      <c r="M266" s="428"/>
    </row>
    <row r="267" spans="1:13" ht="12.75">
      <c r="A267" s="427"/>
      <c r="B267" s="428"/>
      <c r="C267" s="428"/>
      <c r="D267" s="428"/>
      <c r="E267" s="428"/>
      <c r="F267" s="428"/>
      <c r="G267" s="428"/>
      <c r="H267" s="428"/>
      <c r="I267" s="428"/>
      <c r="J267" s="428"/>
      <c r="K267" s="428"/>
      <c r="L267" s="428"/>
      <c r="M267" s="428"/>
    </row>
    <row r="268" spans="1:13" ht="12.75">
      <c r="A268" s="427"/>
      <c r="B268" s="428"/>
      <c r="C268" s="428"/>
      <c r="D268" s="428"/>
      <c r="E268" s="428"/>
      <c r="F268" s="428"/>
      <c r="G268" s="428"/>
      <c r="H268" s="428"/>
      <c r="I268" s="428"/>
      <c r="J268" s="428"/>
      <c r="K268" s="428"/>
      <c r="L268" s="428"/>
      <c r="M268" s="428"/>
    </row>
    <row r="269" spans="1:13" ht="12.75">
      <c r="A269" s="427"/>
      <c r="B269" s="428"/>
      <c r="C269" s="428"/>
      <c r="D269" s="428"/>
      <c r="E269" s="428"/>
      <c r="F269" s="428"/>
      <c r="G269" s="428"/>
      <c r="H269" s="428"/>
      <c r="I269" s="428"/>
      <c r="J269" s="428"/>
      <c r="K269" s="428"/>
      <c r="L269" s="428"/>
      <c r="M269" s="428"/>
    </row>
    <row r="270" spans="1:13" ht="12.75">
      <c r="A270" s="427"/>
      <c r="B270" s="428"/>
      <c r="C270" s="428"/>
      <c r="D270" s="428"/>
      <c r="E270" s="428"/>
      <c r="F270" s="428"/>
      <c r="G270" s="428"/>
      <c r="H270" s="428"/>
      <c r="I270" s="428"/>
      <c r="J270" s="428"/>
      <c r="K270" s="428"/>
      <c r="L270" s="428"/>
      <c r="M270" s="428"/>
    </row>
    <row r="271" spans="1:13" ht="12.75">
      <c r="A271" s="427"/>
      <c r="B271" s="428"/>
      <c r="C271" s="428"/>
      <c r="D271" s="428"/>
      <c r="E271" s="428"/>
      <c r="F271" s="428"/>
      <c r="G271" s="428"/>
      <c r="H271" s="428"/>
      <c r="I271" s="428"/>
      <c r="J271" s="428"/>
      <c r="K271" s="428"/>
      <c r="L271" s="428"/>
      <c r="M271" s="428"/>
    </row>
    <row r="272" spans="1:13" ht="12.75">
      <c r="A272" s="427"/>
      <c r="B272" s="428"/>
      <c r="C272" s="428"/>
      <c r="D272" s="428"/>
      <c r="E272" s="428"/>
      <c r="F272" s="428"/>
      <c r="G272" s="428"/>
      <c r="H272" s="428"/>
      <c r="I272" s="428"/>
      <c r="J272" s="428"/>
      <c r="K272" s="428"/>
      <c r="L272" s="428"/>
      <c r="M272" s="428"/>
    </row>
    <row r="273" spans="1:13" ht="12.75">
      <c r="A273" s="427"/>
      <c r="B273" s="428"/>
      <c r="C273" s="428"/>
      <c r="D273" s="428"/>
      <c r="E273" s="428"/>
      <c r="F273" s="428"/>
      <c r="G273" s="428"/>
      <c r="H273" s="428"/>
      <c r="I273" s="428"/>
      <c r="J273" s="428"/>
      <c r="K273" s="428"/>
      <c r="L273" s="428"/>
      <c r="M273" s="428"/>
    </row>
    <row r="274" spans="1:13" ht="12.75">
      <c r="A274" s="427"/>
      <c r="B274" s="428"/>
      <c r="C274" s="428"/>
      <c r="D274" s="428"/>
      <c r="E274" s="428"/>
      <c r="F274" s="428"/>
      <c r="G274" s="428"/>
      <c r="H274" s="428"/>
      <c r="I274" s="428"/>
      <c r="J274" s="428"/>
      <c r="K274" s="428"/>
      <c r="L274" s="428"/>
      <c r="M274" s="428"/>
    </row>
    <row r="275" spans="1:13" ht="12.75">
      <c r="A275" s="427"/>
      <c r="B275" s="428"/>
      <c r="C275" s="428"/>
      <c r="D275" s="428"/>
      <c r="E275" s="428"/>
      <c r="F275" s="428"/>
      <c r="G275" s="428"/>
      <c r="H275" s="428"/>
      <c r="I275" s="428"/>
      <c r="J275" s="428"/>
      <c r="K275" s="428"/>
      <c r="L275" s="428"/>
      <c r="M275" s="428"/>
    </row>
    <row r="276" spans="1:13" ht="12.75">
      <c r="A276" s="427"/>
      <c r="B276" s="428"/>
      <c r="C276" s="428"/>
      <c r="D276" s="428"/>
      <c r="E276" s="428"/>
      <c r="F276" s="428"/>
      <c r="G276" s="428"/>
      <c r="H276" s="428"/>
      <c r="I276" s="428"/>
      <c r="J276" s="428"/>
      <c r="K276" s="428"/>
      <c r="L276" s="428"/>
      <c r="M276" s="428"/>
    </row>
    <row r="277" spans="1:13" ht="12.75">
      <c r="A277" s="427"/>
      <c r="B277" s="428"/>
      <c r="C277" s="428"/>
      <c r="D277" s="428"/>
      <c r="E277" s="428"/>
      <c r="F277" s="428"/>
      <c r="G277" s="428"/>
      <c r="H277" s="428"/>
      <c r="I277" s="428"/>
      <c r="J277" s="428"/>
      <c r="K277" s="428"/>
      <c r="L277" s="428"/>
      <c r="M277" s="428"/>
    </row>
    <row r="278" spans="1:13" ht="12.75">
      <c r="A278" s="427"/>
      <c r="B278" s="428"/>
      <c r="C278" s="428"/>
      <c r="D278" s="428"/>
      <c r="E278" s="428"/>
      <c r="F278" s="428"/>
      <c r="G278" s="428"/>
      <c r="H278" s="428"/>
      <c r="I278" s="428"/>
      <c r="J278" s="428"/>
      <c r="K278" s="428"/>
      <c r="L278" s="428"/>
      <c r="M278" s="428"/>
    </row>
    <row r="279" spans="1:13" ht="12.75">
      <c r="A279" s="427"/>
      <c r="B279" s="428"/>
      <c r="C279" s="428"/>
      <c r="D279" s="428"/>
      <c r="E279" s="428"/>
      <c r="F279" s="428"/>
      <c r="G279" s="428"/>
      <c r="H279" s="428"/>
      <c r="I279" s="428"/>
      <c r="J279" s="428"/>
      <c r="K279" s="428"/>
      <c r="L279" s="428"/>
      <c r="M279" s="428"/>
    </row>
    <row r="280" spans="1:13" ht="12.75">
      <c r="A280" s="427"/>
      <c r="B280" s="428"/>
      <c r="C280" s="428"/>
      <c r="D280" s="428"/>
      <c r="E280" s="428"/>
      <c r="F280" s="428"/>
      <c r="G280" s="428"/>
      <c r="H280" s="428"/>
      <c r="I280" s="428"/>
      <c r="J280" s="428"/>
      <c r="K280" s="428"/>
      <c r="L280" s="428"/>
      <c r="M280" s="428"/>
    </row>
    <row r="281" spans="1:13" ht="12.75">
      <c r="A281" s="427"/>
      <c r="B281" s="428"/>
      <c r="C281" s="428"/>
      <c r="D281" s="428"/>
      <c r="E281" s="428"/>
      <c r="F281" s="428"/>
      <c r="G281" s="428"/>
      <c r="H281" s="428"/>
      <c r="I281" s="428"/>
      <c r="J281" s="428"/>
      <c r="K281" s="428"/>
      <c r="L281" s="428"/>
      <c r="M281" s="428"/>
    </row>
    <row r="282" spans="1:13" ht="12.75">
      <c r="A282" s="427"/>
      <c r="B282" s="428"/>
      <c r="C282" s="428"/>
      <c r="D282" s="428"/>
      <c r="E282" s="428"/>
      <c r="F282" s="428"/>
      <c r="G282" s="428"/>
      <c r="H282" s="428"/>
      <c r="I282" s="428"/>
      <c r="J282" s="428"/>
      <c r="K282" s="428"/>
      <c r="L282" s="428"/>
      <c r="M282" s="428"/>
    </row>
    <row r="283" spans="1:13" ht="12.75">
      <c r="A283" s="427"/>
      <c r="B283" s="428"/>
      <c r="C283" s="428"/>
      <c r="D283" s="428"/>
      <c r="E283" s="428"/>
      <c r="F283" s="428"/>
      <c r="G283" s="428"/>
      <c r="H283" s="428"/>
      <c r="I283" s="428"/>
      <c r="J283" s="428"/>
      <c r="K283" s="428"/>
      <c r="L283" s="428"/>
      <c r="M283" s="428"/>
    </row>
    <row r="284" spans="1:13" ht="12.75">
      <c r="A284" s="427"/>
      <c r="B284" s="428"/>
      <c r="C284" s="428"/>
      <c r="D284" s="428"/>
      <c r="E284" s="428"/>
      <c r="F284" s="428"/>
      <c r="G284" s="428"/>
      <c r="H284" s="428"/>
      <c r="I284" s="428"/>
      <c r="J284" s="428"/>
      <c r="K284" s="428"/>
      <c r="L284" s="428"/>
      <c r="M284" s="428"/>
    </row>
    <row r="285" spans="1:13" ht="12.75">
      <c r="A285" s="427"/>
      <c r="B285" s="428"/>
      <c r="C285" s="428"/>
      <c r="D285" s="428"/>
      <c r="E285" s="428"/>
      <c r="F285" s="428"/>
      <c r="G285" s="428"/>
      <c r="H285" s="428"/>
      <c r="I285" s="428"/>
      <c r="J285" s="428"/>
      <c r="K285" s="428"/>
      <c r="L285" s="428"/>
      <c r="M285" s="428"/>
    </row>
    <row r="286" spans="1:13" ht="12.75">
      <c r="A286" s="427"/>
      <c r="B286" s="428"/>
      <c r="C286" s="428"/>
      <c r="D286" s="428"/>
      <c r="E286" s="428"/>
      <c r="F286" s="428"/>
      <c r="G286" s="428"/>
      <c r="H286" s="428"/>
      <c r="I286" s="428"/>
      <c r="J286" s="428"/>
      <c r="K286" s="428"/>
      <c r="L286" s="428"/>
      <c r="M286" s="428"/>
    </row>
    <row r="287" spans="1:13" ht="12.75">
      <c r="A287" s="427"/>
      <c r="B287" s="428"/>
      <c r="C287" s="428"/>
      <c r="D287" s="428"/>
      <c r="E287" s="428"/>
      <c r="F287" s="428"/>
      <c r="G287" s="428"/>
      <c r="H287" s="428"/>
      <c r="I287" s="428"/>
      <c r="J287" s="428"/>
      <c r="K287" s="428"/>
      <c r="L287" s="428"/>
      <c r="M287" s="428"/>
    </row>
    <row r="288" spans="1:13" ht="12.75">
      <c r="A288" s="427"/>
      <c r="B288" s="428"/>
      <c r="C288" s="428"/>
      <c r="D288" s="428"/>
      <c r="E288" s="428"/>
      <c r="F288" s="428"/>
      <c r="G288" s="428"/>
      <c r="H288" s="428"/>
      <c r="I288" s="428"/>
      <c r="J288" s="428"/>
      <c r="K288" s="428"/>
      <c r="L288" s="428"/>
      <c r="M288" s="428"/>
    </row>
    <row r="289" spans="1:13" ht="12.75">
      <c r="A289" s="427"/>
      <c r="B289" s="428"/>
      <c r="C289" s="428"/>
      <c r="D289" s="428"/>
      <c r="E289" s="428"/>
      <c r="F289" s="428"/>
      <c r="G289" s="428"/>
      <c r="H289" s="428"/>
      <c r="I289" s="428"/>
      <c r="J289" s="428"/>
      <c r="K289" s="428"/>
      <c r="L289" s="428"/>
      <c r="M289" s="428"/>
    </row>
    <row r="290" spans="1:13" ht="12.75">
      <c r="A290" s="427"/>
      <c r="B290" s="428"/>
      <c r="C290" s="428"/>
      <c r="D290" s="428"/>
      <c r="E290" s="428"/>
      <c r="F290" s="428"/>
      <c r="G290" s="428"/>
      <c r="H290" s="428"/>
      <c r="I290" s="428"/>
      <c r="J290" s="428"/>
      <c r="K290" s="428"/>
      <c r="L290" s="428"/>
      <c r="M290" s="428"/>
    </row>
    <row r="291" spans="1:13" ht="12.75">
      <c r="A291" s="427"/>
      <c r="B291" s="428"/>
      <c r="C291" s="428"/>
      <c r="D291" s="428"/>
      <c r="E291" s="428"/>
      <c r="F291" s="428"/>
      <c r="G291" s="428"/>
      <c r="H291" s="428"/>
      <c r="I291" s="428"/>
      <c r="J291" s="428"/>
      <c r="K291" s="428"/>
      <c r="L291" s="428"/>
      <c r="M291" s="428"/>
    </row>
    <row r="292" spans="1:13" ht="12.75">
      <c r="A292" s="427"/>
      <c r="B292" s="428"/>
      <c r="C292" s="428"/>
      <c r="D292" s="428"/>
      <c r="E292" s="428"/>
      <c r="F292" s="428"/>
      <c r="G292" s="428"/>
      <c r="H292" s="428"/>
      <c r="I292" s="428"/>
      <c r="J292" s="428"/>
      <c r="K292" s="428"/>
      <c r="L292" s="428"/>
      <c r="M292" s="428"/>
    </row>
    <row r="293" spans="1:13" ht="12.75">
      <c r="A293" s="427"/>
      <c r="B293" s="428"/>
      <c r="C293" s="428"/>
      <c r="D293" s="428"/>
      <c r="E293" s="428"/>
      <c r="F293" s="428"/>
      <c r="G293" s="428"/>
      <c r="H293" s="428"/>
      <c r="I293" s="428"/>
      <c r="J293" s="428"/>
      <c r="K293" s="428"/>
      <c r="L293" s="428"/>
      <c r="M293" s="428"/>
    </row>
    <row r="294" spans="1:13" ht="12.75">
      <c r="A294" s="427"/>
      <c r="B294" s="428"/>
      <c r="C294" s="428"/>
      <c r="D294" s="428"/>
      <c r="E294" s="428"/>
      <c r="F294" s="428"/>
      <c r="G294" s="428"/>
      <c r="H294" s="428"/>
      <c r="I294" s="428"/>
      <c r="J294" s="428"/>
      <c r="K294" s="428"/>
      <c r="L294" s="428"/>
      <c r="M294" s="428"/>
    </row>
    <row r="295" spans="1:13" ht="12.75">
      <c r="A295" s="427"/>
      <c r="B295" s="428"/>
      <c r="C295" s="428"/>
      <c r="D295" s="428"/>
      <c r="E295" s="428"/>
      <c r="F295" s="428"/>
      <c r="G295" s="428"/>
      <c r="H295" s="428"/>
      <c r="I295" s="428"/>
      <c r="J295" s="428"/>
      <c r="K295" s="428"/>
      <c r="L295" s="428"/>
      <c r="M295" s="428"/>
    </row>
    <row r="296" spans="1:13" ht="12.75">
      <c r="A296" s="427"/>
      <c r="B296" s="428"/>
      <c r="C296" s="428"/>
      <c r="D296" s="428"/>
      <c r="E296" s="428"/>
      <c r="F296" s="428"/>
      <c r="G296" s="428"/>
      <c r="H296" s="428"/>
      <c r="I296" s="428"/>
      <c r="J296" s="428"/>
      <c r="K296" s="428"/>
      <c r="L296" s="428"/>
      <c r="M296" s="428"/>
    </row>
    <row r="297" spans="1:13" ht="12.75">
      <c r="A297" s="427"/>
      <c r="B297" s="428"/>
      <c r="C297" s="428"/>
      <c r="D297" s="428"/>
      <c r="E297" s="428"/>
      <c r="F297" s="428"/>
      <c r="G297" s="428"/>
      <c r="H297" s="428"/>
      <c r="I297" s="428"/>
      <c r="J297" s="428"/>
      <c r="K297" s="428"/>
      <c r="L297" s="428"/>
      <c r="M297" s="428"/>
    </row>
    <row r="298" spans="1:13" ht="12.75">
      <c r="A298" s="427"/>
      <c r="B298" s="428"/>
      <c r="C298" s="428"/>
      <c r="D298" s="428"/>
      <c r="E298" s="428"/>
      <c r="F298" s="428"/>
      <c r="G298" s="428"/>
      <c r="H298" s="428"/>
      <c r="I298" s="428"/>
      <c r="J298" s="428"/>
      <c r="K298" s="428"/>
      <c r="L298" s="428"/>
      <c r="M298" s="428"/>
    </row>
    <row r="299" spans="1:13" ht="12.75">
      <c r="A299" s="427"/>
      <c r="B299" s="428"/>
      <c r="C299" s="428"/>
      <c r="D299" s="428"/>
      <c r="E299" s="428"/>
      <c r="F299" s="428"/>
      <c r="G299" s="428"/>
      <c r="H299" s="428"/>
      <c r="I299" s="428"/>
      <c r="J299" s="428"/>
      <c r="K299" s="428"/>
      <c r="L299" s="428"/>
      <c r="M299" s="428"/>
    </row>
    <row r="300" spans="1:13" ht="12.75">
      <c r="A300" s="427"/>
      <c r="B300" s="428"/>
      <c r="C300" s="428"/>
      <c r="D300" s="428"/>
      <c r="E300" s="428"/>
      <c r="F300" s="428"/>
      <c r="G300" s="428"/>
      <c r="H300" s="428"/>
      <c r="I300" s="428"/>
      <c r="J300" s="428"/>
      <c r="K300" s="428"/>
      <c r="L300" s="428"/>
      <c r="M300" s="428"/>
    </row>
    <row r="301" spans="1:13" ht="12.75">
      <c r="A301" s="427"/>
      <c r="B301" s="428"/>
      <c r="C301" s="428"/>
      <c r="D301" s="428"/>
      <c r="E301" s="428"/>
      <c r="F301" s="428"/>
      <c r="G301" s="428"/>
      <c r="H301" s="428"/>
      <c r="I301" s="428"/>
      <c r="J301" s="428"/>
      <c r="K301" s="428"/>
      <c r="L301" s="428"/>
      <c r="M301" s="428"/>
    </row>
    <row r="302" spans="1:13" ht="12.75">
      <c r="A302" s="427"/>
      <c r="B302" s="428"/>
      <c r="C302" s="428"/>
      <c r="D302" s="428"/>
      <c r="E302" s="428"/>
      <c r="F302" s="428"/>
      <c r="G302" s="428"/>
      <c r="H302" s="428"/>
      <c r="I302" s="428"/>
      <c r="J302" s="428"/>
      <c r="K302" s="428"/>
      <c r="L302" s="428"/>
      <c r="M302" s="428"/>
    </row>
    <row r="303" spans="1:13" ht="12.75">
      <c r="A303" s="427"/>
      <c r="B303" s="428"/>
      <c r="C303" s="428"/>
      <c r="D303" s="428"/>
      <c r="E303" s="428"/>
      <c r="F303" s="428"/>
      <c r="G303" s="428"/>
      <c r="H303" s="428"/>
      <c r="I303" s="428"/>
      <c r="J303" s="428"/>
      <c r="K303" s="428"/>
      <c r="L303" s="428"/>
      <c r="M303" s="428"/>
    </row>
    <row r="304" spans="1:13" ht="12.75">
      <c r="A304" s="427"/>
      <c r="B304" s="428"/>
      <c r="C304" s="428"/>
      <c r="D304" s="428"/>
      <c r="E304" s="428"/>
      <c r="F304" s="428"/>
      <c r="G304" s="428"/>
      <c r="H304" s="428"/>
      <c r="I304" s="428"/>
      <c r="J304" s="428"/>
      <c r="K304" s="428"/>
      <c r="L304" s="428"/>
      <c r="M304" s="428"/>
    </row>
    <row r="305" spans="1:13" ht="12.75">
      <c r="A305" s="427"/>
      <c r="B305" s="428"/>
      <c r="C305" s="428"/>
      <c r="D305" s="428"/>
      <c r="E305" s="428"/>
      <c r="F305" s="428"/>
      <c r="G305" s="428"/>
      <c r="H305" s="428"/>
      <c r="I305" s="428"/>
      <c r="J305" s="428"/>
      <c r="K305" s="428"/>
      <c r="L305" s="428"/>
      <c r="M305" s="428"/>
    </row>
    <row r="306" spans="1:13" ht="12.75">
      <c r="A306" s="427"/>
      <c r="B306" s="428"/>
      <c r="C306" s="428"/>
      <c r="D306" s="428"/>
      <c r="E306" s="428"/>
      <c r="F306" s="428"/>
      <c r="G306" s="428"/>
      <c r="H306" s="428"/>
      <c r="I306" s="428"/>
      <c r="J306" s="428"/>
      <c r="K306" s="428"/>
      <c r="L306" s="428"/>
      <c r="M306" s="428"/>
    </row>
    <row r="307" spans="1:13" ht="12.75">
      <c r="A307" s="427"/>
      <c r="B307" s="428"/>
      <c r="C307" s="428"/>
      <c r="D307" s="428"/>
      <c r="E307" s="428"/>
      <c r="F307" s="428"/>
      <c r="G307" s="428"/>
      <c r="H307" s="428"/>
      <c r="I307" s="428"/>
      <c r="J307" s="428"/>
      <c r="K307" s="428"/>
      <c r="L307" s="428"/>
      <c r="M307" s="428"/>
    </row>
    <row r="308" spans="1:13" ht="12.75">
      <c r="A308" s="427"/>
      <c r="B308" s="428"/>
      <c r="C308" s="428"/>
      <c r="D308" s="428"/>
      <c r="E308" s="428"/>
      <c r="F308" s="428"/>
      <c r="G308" s="428"/>
      <c r="H308" s="428"/>
      <c r="I308" s="428"/>
      <c r="J308" s="428"/>
      <c r="K308" s="428"/>
      <c r="L308" s="428"/>
      <c r="M308" s="428"/>
    </row>
    <row r="309" spans="1:13" ht="12.75">
      <c r="A309" s="427"/>
      <c r="B309" s="428"/>
      <c r="C309" s="428"/>
      <c r="D309" s="428"/>
      <c r="E309" s="428"/>
      <c r="F309" s="428"/>
      <c r="G309" s="428"/>
      <c r="H309" s="428"/>
      <c r="I309" s="428"/>
      <c r="J309" s="428"/>
      <c r="K309" s="428"/>
      <c r="L309" s="428"/>
      <c r="M309" s="428"/>
    </row>
    <row r="310" spans="1:13" ht="12.75">
      <c r="A310" s="427"/>
      <c r="B310" s="428"/>
      <c r="C310" s="428"/>
      <c r="D310" s="428"/>
      <c r="E310" s="428"/>
      <c r="F310" s="428"/>
      <c r="G310" s="428"/>
      <c r="H310" s="428"/>
      <c r="I310" s="428"/>
      <c r="J310" s="428"/>
      <c r="K310" s="428"/>
      <c r="L310" s="428"/>
      <c r="M310" s="428"/>
    </row>
    <row r="311" spans="1:13" ht="12.75">
      <c r="A311" s="427"/>
      <c r="B311" s="428"/>
      <c r="C311" s="428"/>
      <c r="D311" s="428"/>
      <c r="E311" s="428"/>
      <c r="F311" s="428"/>
      <c r="G311" s="428"/>
      <c r="H311" s="428"/>
      <c r="I311" s="428"/>
      <c r="J311" s="428"/>
      <c r="K311" s="428"/>
      <c r="L311" s="428"/>
      <c r="M311" s="428"/>
    </row>
    <row r="312" spans="1:13" ht="12.75">
      <c r="A312" s="427"/>
      <c r="B312" s="428"/>
      <c r="C312" s="428"/>
      <c r="D312" s="428"/>
      <c r="E312" s="428"/>
      <c r="F312" s="428"/>
      <c r="G312" s="428"/>
      <c r="H312" s="428"/>
      <c r="I312" s="428"/>
      <c r="J312" s="428"/>
      <c r="K312" s="428"/>
      <c r="L312" s="428"/>
      <c r="M312" s="428"/>
    </row>
    <row r="313" spans="1:13" ht="12.75">
      <c r="A313" s="427"/>
      <c r="B313" s="428"/>
      <c r="C313" s="428"/>
      <c r="D313" s="428"/>
      <c r="E313" s="428"/>
      <c r="F313" s="428"/>
      <c r="G313" s="428"/>
      <c r="H313" s="428"/>
      <c r="I313" s="428"/>
      <c r="J313" s="428"/>
      <c r="K313" s="428"/>
      <c r="L313" s="428"/>
      <c r="M313" s="428"/>
    </row>
    <row r="314" spans="1:13" ht="12.75">
      <c r="A314" s="427"/>
      <c r="B314" s="428"/>
      <c r="C314" s="428"/>
      <c r="D314" s="428"/>
      <c r="E314" s="428"/>
      <c r="F314" s="428"/>
      <c r="G314" s="428"/>
      <c r="H314" s="428"/>
      <c r="I314" s="428"/>
      <c r="J314" s="428"/>
      <c r="K314" s="428"/>
      <c r="L314" s="428"/>
      <c r="M314" s="428"/>
    </row>
    <row r="315" spans="1:13" ht="12.75">
      <c r="A315" s="427"/>
      <c r="B315" s="428"/>
      <c r="C315" s="428"/>
      <c r="D315" s="428"/>
      <c r="E315" s="428"/>
      <c r="F315" s="428"/>
      <c r="G315" s="428"/>
      <c r="H315" s="428"/>
      <c r="I315" s="428"/>
      <c r="J315" s="428"/>
      <c r="K315" s="428"/>
      <c r="L315" s="428"/>
      <c r="M315" s="428"/>
    </row>
    <row r="316" spans="1:13" ht="12.75">
      <c r="A316" s="427"/>
      <c r="B316" s="428"/>
      <c r="C316" s="428"/>
      <c r="D316" s="428"/>
      <c r="E316" s="428"/>
      <c r="F316" s="428"/>
      <c r="G316" s="428"/>
      <c r="H316" s="428"/>
      <c r="I316" s="428"/>
      <c r="J316" s="428"/>
      <c r="K316" s="428"/>
      <c r="L316" s="428"/>
      <c r="M316" s="428"/>
    </row>
    <row r="317" spans="1:13" ht="12.75">
      <c r="A317" s="427"/>
      <c r="B317" s="428"/>
      <c r="C317" s="428"/>
      <c r="D317" s="428"/>
      <c r="E317" s="428"/>
      <c r="F317" s="428"/>
      <c r="G317" s="428"/>
      <c r="H317" s="428"/>
      <c r="I317" s="428"/>
      <c r="J317" s="428"/>
      <c r="K317" s="428"/>
      <c r="L317" s="428"/>
      <c r="M317" s="428"/>
    </row>
    <row r="318" spans="1:13" ht="12.75">
      <c r="A318" s="427"/>
      <c r="B318" s="428"/>
      <c r="C318" s="428"/>
      <c r="D318" s="428"/>
      <c r="E318" s="428"/>
      <c r="F318" s="428"/>
      <c r="G318" s="428"/>
      <c r="H318" s="428"/>
      <c r="I318" s="428"/>
      <c r="J318" s="428"/>
      <c r="K318" s="428"/>
      <c r="L318" s="428"/>
      <c r="M318" s="428"/>
    </row>
    <row r="319" spans="1:13" ht="12.75">
      <c r="A319" s="427"/>
      <c r="B319" s="428"/>
      <c r="C319" s="428"/>
      <c r="D319" s="428"/>
      <c r="E319" s="428"/>
      <c r="F319" s="428"/>
      <c r="G319" s="428"/>
      <c r="H319" s="428"/>
      <c r="I319" s="428"/>
      <c r="J319" s="428"/>
      <c r="K319" s="428"/>
      <c r="L319" s="428"/>
      <c r="M319" s="428"/>
    </row>
    <row r="320" spans="1:13" ht="12.75">
      <c r="A320" s="427"/>
      <c r="B320" s="428"/>
      <c r="C320" s="428"/>
      <c r="D320" s="428"/>
      <c r="E320" s="428"/>
      <c r="F320" s="428"/>
      <c r="G320" s="428"/>
      <c r="H320" s="428"/>
      <c r="I320" s="428"/>
      <c r="J320" s="428"/>
      <c r="K320" s="428"/>
      <c r="L320" s="428"/>
      <c r="M320" s="428"/>
    </row>
    <row r="321" spans="1:13" ht="12.75">
      <c r="A321" s="427"/>
      <c r="B321" s="428"/>
      <c r="C321" s="428"/>
      <c r="D321" s="428"/>
      <c r="E321" s="428"/>
      <c r="F321" s="428"/>
      <c r="G321" s="428"/>
      <c r="H321" s="428"/>
      <c r="I321" s="428"/>
      <c r="J321" s="428"/>
      <c r="K321" s="428"/>
      <c r="L321" s="428"/>
      <c r="M321" s="428"/>
    </row>
    <row r="322" spans="1:13" ht="12.75">
      <c r="A322" s="427"/>
      <c r="B322" s="428"/>
      <c r="C322" s="428"/>
      <c r="D322" s="428"/>
      <c r="E322" s="428"/>
      <c r="F322" s="428"/>
      <c r="G322" s="428"/>
      <c r="H322" s="428"/>
      <c r="I322" s="428"/>
      <c r="J322" s="428"/>
      <c r="K322" s="428"/>
      <c r="L322" s="428"/>
      <c r="M322" s="428"/>
    </row>
    <row r="323" spans="1:13" ht="12.75">
      <c r="A323" s="427"/>
      <c r="B323" s="428"/>
      <c r="C323" s="428"/>
      <c r="D323" s="428"/>
      <c r="E323" s="428"/>
      <c r="F323" s="428"/>
      <c r="G323" s="428"/>
      <c r="H323" s="428"/>
      <c r="I323" s="428"/>
      <c r="J323" s="428"/>
      <c r="K323" s="428"/>
      <c r="L323" s="428"/>
      <c r="M323" s="428"/>
    </row>
    <row r="324" spans="1:13" ht="12.75">
      <c r="A324" s="427"/>
      <c r="B324" s="428"/>
      <c r="C324" s="428"/>
      <c r="D324" s="428"/>
      <c r="E324" s="428"/>
      <c r="F324" s="428"/>
      <c r="G324" s="428"/>
      <c r="H324" s="428"/>
      <c r="I324" s="428"/>
      <c r="J324" s="428"/>
      <c r="K324" s="428"/>
      <c r="L324" s="428"/>
      <c r="M324" s="428"/>
    </row>
    <row r="325" spans="1:13" ht="12.75">
      <c r="A325" s="427"/>
      <c r="B325" s="428"/>
      <c r="C325" s="428"/>
      <c r="D325" s="428"/>
      <c r="E325" s="428"/>
      <c r="F325" s="428"/>
      <c r="G325" s="428"/>
      <c r="H325" s="428"/>
      <c r="I325" s="428"/>
      <c r="J325" s="428"/>
      <c r="K325" s="428"/>
      <c r="L325" s="428"/>
      <c r="M325" s="428"/>
    </row>
    <row r="326" spans="1:13" ht="12.75">
      <c r="A326" s="427"/>
      <c r="B326" s="428"/>
      <c r="C326" s="428"/>
      <c r="D326" s="428"/>
      <c r="E326" s="428"/>
      <c r="F326" s="428"/>
      <c r="G326" s="428"/>
      <c r="H326" s="428"/>
      <c r="I326" s="428"/>
      <c r="J326" s="428"/>
      <c r="K326" s="428"/>
      <c r="L326" s="428"/>
      <c r="M326" s="428"/>
    </row>
    <row r="327" spans="1:13" ht="12.75">
      <c r="A327" s="427"/>
      <c r="B327" s="428"/>
      <c r="C327" s="428"/>
      <c r="D327" s="428"/>
      <c r="E327" s="428"/>
      <c r="F327" s="428"/>
      <c r="G327" s="428"/>
      <c r="H327" s="428"/>
      <c r="I327" s="428"/>
      <c r="J327" s="428"/>
      <c r="K327" s="428"/>
      <c r="L327" s="428"/>
      <c r="M327" s="428"/>
    </row>
    <row r="328" spans="1:13" ht="12.75">
      <c r="A328" s="427"/>
      <c r="B328" s="428"/>
      <c r="C328" s="428"/>
      <c r="D328" s="428"/>
      <c r="E328" s="428"/>
      <c r="F328" s="428"/>
      <c r="G328" s="428"/>
      <c r="H328" s="428"/>
      <c r="I328" s="428"/>
      <c r="J328" s="428"/>
      <c r="K328" s="428"/>
      <c r="L328" s="428"/>
      <c r="M328" s="428"/>
    </row>
    <row r="329" spans="1:13" ht="12.75">
      <c r="A329" s="427"/>
      <c r="B329" s="428"/>
      <c r="C329" s="428"/>
      <c r="D329" s="428"/>
      <c r="E329" s="428"/>
      <c r="F329" s="428"/>
      <c r="G329" s="428"/>
      <c r="H329" s="428"/>
      <c r="I329" s="428"/>
      <c r="J329" s="428"/>
      <c r="K329" s="428"/>
      <c r="L329" s="428"/>
      <c r="M329" s="428"/>
    </row>
    <row r="330" spans="1:13" ht="12.75">
      <c r="A330" s="427"/>
      <c r="B330" s="428"/>
      <c r="C330" s="428"/>
      <c r="D330" s="428"/>
      <c r="E330" s="428"/>
      <c r="F330" s="428"/>
      <c r="G330" s="428"/>
      <c r="H330" s="428"/>
      <c r="I330" s="428"/>
      <c r="J330" s="428"/>
      <c r="K330" s="428"/>
      <c r="L330" s="428"/>
      <c r="M330" s="428"/>
    </row>
    <row r="331" spans="1:13" ht="12.75">
      <c r="A331" s="427"/>
      <c r="B331" s="428"/>
      <c r="C331" s="428"/>
      <c r="D331" s="428"/>
      <c r="E331" s="428"/>
      <c r="F331" s="428"/>
      <c r="G331" s="428"/>
      <c r="H331" s="428"/>
      <c r="I331" s="428"/>
      <c r="J331" s="428"/>
      <c r="K331" s="428"/>
      <c r="L331" s="428"/>
      <c r="M331" s="428"/>
    </row>
    <row r="332" spans="1:13" ht="12.75">
      <c r="A332" s="427"/>
      <c r="B332" s="428"/>
      <c r="C332" s="428"/>
      <c r="D332" s="428"/>
      <c r="E332" s="428"/>
      <c r="F332" s="428"/>
      <c r="G332" s="428"/>
      <c r="H332" s="428"/>
      <c r="I332" s="428"/>
      <c r="J332" s="428"/>
      <c r="K332" s="428"/>
      <c r="L332" s="428"/>
      <c r="M332" s="428"/>
    </row>
    <row r="333" spans="1:13" ht="12.75">
      <c r="A333" s="427"/>
      <c r="B333" s="428"/>
      <c r="C333" s="428"/>
      <c r="D333" s="428"/>
      <c r="E333" s="428"/>
      <c r="F333" s="428"/>
      <c r="G333" s="428"/>
      <c r="H333" s="428"/>
      <c r="I333" s="428"/>
      <c r="J333" s="428"/>
      <c r="K333" s="428"/>
      <c r="L333" s="428"/>
      <c r="M333" s="428"/>
    </row>
    <row r="334" spans="1:13" ht="12.75">
      <c r="A334" s="427"/>
      <c r="B334" s="428"/>
      <c r="C334" s="428"/>
      <c r="D334" s="428"/>
      <c r="E334" s="428"/>
      <c r="F334" s="428"/>
      <c r="G334" s="428"/>
      <c r="H334" s="428"/>
      <c r="I334" s="428"/>
      <c r="J334" s="428"/>
      <c r="K334" s="428"/>
      <c r="L334" s="428"/>
      <c r="M334" s="428"/>
    </row>
    <row r="335" spans="1:13" ht="12.75">
      <c r="A335" s="427"/>
      <c r="B335" s="428"/>
      <c r="C335" s="428"/>
      <c r="D335" s="428"/>
      <c r="E335" s="428"/>
      <c r="F335" s="428"/>
      <c r="G335" s="428"/>
      <c r="H335" s="428"/>
      <c r="I335" s="428"/>
      <c r="J335" s="428"/>
      <c r="K335" s="428"/>
      <c r="L335" s="428"/>
      <c r="M335" s="428"/>
    </row>
    <row r="336" spans="1:13" ht="12.75">
      <c r="A336" s="427"/>
      <c r="B336" s="428"/>
      <c r="C336" s="428"/>
      <c r="D336" s="428"/>
      <c r="E336" s="428"/>
      <c r="F336" s="428"/>
      <c r="G336" s="428"/>
      <c r="H336" s="428"/>
      <c r="I336" s="428"/>
      <c r="J336" s="428"/>
      <c r="K336" s="428"/>
      <c r="L336" s="428"/>
      <c r="M336" s="428"/>
    </row>
    <row r="337" spans="1:13" ht="12.75">
      <c r="A337" s="427"/>
      <c r="B337" s="428"/>
      <c r="C337" s="428"/>
      <c r="D337" s="428"/>
      <c r="E337" s="428"/>
      <c r="F337" s="428"/>
      <c r="G337" s="428"/>
      <c r="H337" s="428"/>
      <c r="I337" s="428"/>
      <c r="J337" s="428"/>
      <c r="K337" s="428"/>
      <c r="L337" s="428"/>
      <c r="M337" s="428"/>
    </row>
    <row r="338" spans="1:13" ht="12.75">
      <c r="A338" s="427"/>
      <c r="B338" s="428"/>
      <c r="C338" s="428"/>
      <c r="D338" s="428"/>
      <c r="E338" s="428"/>
      <c r="F338" s="428"/>
      <c r="G338" s="428"/>
      <c r="H338" s="428"/>
      <c r="I338" s="428"/>
      <c r="J338" s="428"/>
      <c r="K338" s="428"/>
      <c r="L338" s="428"/>
      <c r="M338" s="428"/>
    </row>
    <row r="339" spans="1:13" ht="12.75">
      <c r="A339" s="427"/>
      <c r="B339" s="428"/>
      <c r="C339" s="428"/>
      <c r="D339" s="428"/>
      <c r="E339" s="428"/>
      <c r="F339" s="428"/>
      <c r="G339" s="428"/>
      <c r="H339" s="428"/>
      <c r="I339" s="428"/>
      <c r="J339" s="428"/>
      <c r="K339" s="428"/>
      <c r="L339" s="428"/>
      <c r="M339" s="428"/>
    </row>
    <row r="340" spans="1:13" ht="12.75">
      <c r="A340" s="427"/>
      <c r="B340" s="428"/>
      <c r="C340" s="428"/>
      <c r="D340" s="428"/>
      <c r="E340" s="428"/>
      <c r="F340" s="428"/>
      <c r="G340" s="428"/>
      <c r="H340" s="428"/>
      <c r="I340" s="428"/>
      <c r="J340" s="428"/>
      <c r="K340" s="428"/>
      <c r="L340" s="428"/>
      <c r="M340" s="428"/>
    </row>
    <row r="341" spans="1:13" ht="12.75">
      <c r="A341" s="427"/>
      <c r="B341" s="428"/>
      <c r="C341" s="428"/>
      <c r="D341" s="428"/>
      <c r="E341" s="428"/>
      <c r="F341" s="428"/>
      <c r="G341" s="428"/>
      <c r="H341" s="428"/>
      <c r="I341" s="428"/>
      <c r="J341" s="428"/>
      <c r="K341" s="428"/>
      <c r="L341" s="428"/>
      <c r="M341" s="428"/>
    </row>
    <row r="342" spans="1:13" ht="12.75">
      <c r="A342" s="427"/>
      <c r="B342" s="428"/>
      <c r="C342" s="428"/>
      <c r="D342" s="428"/>
      <c r="E342" s="428"/>
      <c r="F342" s="428"/>
      <c r="G342" s="428"/>
      <c r="H342" s="428"/>
      <c r="I342" s="428"/>
      <c r="J342" s="428"/>
      <c r="K342" s="428"/>
      <c r="L342" s="428"/>
      <c r="M342" s="428"/>
    </row>
    <row r="343" spans="1:13" ht="12.75">
      <c r="A343" s="427"/>
      <c r="B343" s="428"/>
      <c r="C343" s="428"/>
      <c r="D343" s="428"/>
      <c r="E343" s="428"/>
      <c r="F343" s="428"/>
      <c r="G343" s="428"/>
      <c r="H343" s="428"/>
      <c r="I343" s="428"/>
      <c r="J343" s="428"/>
      <c r="K343" s="428"/>
      <c r="L343" s="428"/>
      <c r="M343" s="428"/>
    </row>
    <row r="344" spans="1:13" ht="12.75">
      <c r="A344" s="427"/>
      <c r="B344" s="428"/>
      <c r="C344" s="428"/>
      <c r="D344" s="428"/>
      <c r="E344" s="428"/>
      <c r="F344" s="428"/>
      <c r="G344" s="428"/>
      <c r="H344" s="428"/>
      <c r="I344" s="428"/>
      <c r="J344" s="428"/>
      <c r="K344" s="428"/>
      <c r="L344" s="428"/>
      <c r="M344" s="428"/>
    </row>
    <row r="345" spans="1:13" ht="12.75">
      <c r="A345" s="427"/>
      <c r="B345" s="428"/>
      <c r="C345" s="428"/>
      <c r="D345" s="428"/>
      <c r="E345" s="428"/>
      <c r="F345" s="428"/>
      <c r="G345" s="428"/>
      <c r="H345" s="428"/>
      <c r="I345" s="428"/>
      <c r="J345" s="428"/>
      <c r="K345" s="428"/>
      <c r="L345" s="428"/>
      <c r="M345" s="428"/>
    </row>
    <row r="346" spans="1:13" ht="12.75">
      <c r="A346" s="427"/>
      <c r="B346" s="428"/>
      <c r="C346" s="428"/>
      <c r="D346" s="428"/>
      <c r="E346" s="428"/>
      <c r="F346" s="428"/>
      <c r="G346" s="428"/>
      <c r="H346" s="428"/>
      <c r="I346" s="428"/>
      <c r="J346" s="428"/>
      <c r="K346" s="428"/>
      <c r="L346" s="428"/>
      <c r="M346" s="428"/>
    </row>
    <row r="347" spans="1:13" ht="12.75">
      <c r="A347" s="427"/>
      <c r="B347" s="428"/>
      <c r="C347" s="428"/>
      <c r="D347" s="428"/>
      <c r="E347" s="428"/>
      <c r="F347" s="428"/>
      <c r="G347" s="428"/>
      <c r="H347" s="428"/>
      <c r="I347" s="428"/>
      <c r="J347" s="428"/>
      <c r="K347" s="428"/>
      <c r="L347" s="428"/>
      <c r="M347" s="428"/>
    </row>
    <row r="348" spans="1:13" ht="12.75">
      <c r="A348" s="427"/>
      <c r="B348" s="428"/>
      <c r="C348" s="428"/>
      <c r="D348" s="428"/>
      <c r="E348" s="428"/>
      <c r="F348" s="428"/>
      <c r="G348" s="428"/>
      <c r="H348" s="428"/>
      <c r="I348" s="428"/>
      <c r="J348" s="428"/>
      <c r="K348" s="428"/>
      <c r="L348" s="428"/>
      <c r="M348" s="428"/>
    </row>
    <row r="349" spans="1:13" ht="12.75">
      <c r="A349" s="427"/>
      <c r="B349" s="428"/>
      <c r="C349" s="428"/>
      <c r="D349" s="428"/>
      <c r="E349" s="428"/>
      <c r="F349" s="428"/>
      <c r="G349" s="428"/>
      <c r="H349" s="428"/>
      <c r="I349" s="428"/>
      <c r="J349" s="428"/>
      <c r="K349" s="428"/>
      <c r="L349" s="428"/>
      <c r="M349" s="428"/>
    </row>
    <row r="350" spans="1:13" ht="12.75">
      <c r="A350" s="427"/>
      <c r="B350" s="428"/>
      <c r="C350" s="428"/>
      <c r="D350" s="428"/>
      <c r="E350" s="428"/>
      <c r="F350" s="428"/>
      <c r="G350" s="428"/>
      <c r="H350" s="428"/>
      <c r="I350" s="428"/>
      <c r="J350" s="428"/>
      <c r="K350" s="428"/>
      <c r="L350" s="428"/>
      <c r="M350" s="428"/>
    </row>
    <row r="351" spans="1:13" ht="12.75">
      <c r="A351" s="427"/>
      <c r="B351" s="428"/>
      <c r="C351" s="428"/>
      <c r="D351" s="428"/>
      <c r="E351" s="428"/>
      <c r="F351" s="428"/>
      <c r="G351" s="428"/>
      <c r="H351" s="428"/>
      <c r="I351" s="428"/>
      <c r="J351" s="428"/>
      <c r="K351" s="428"/>
      <c r="L351" s="428"/>
      <c r="M351" s="428"/>
    </row>
    <row r="352" spans="1:13" ht="12.75">
      <c r="A352" s="427"/>
      <c r="B352" s="428"/>
      <c r="C352" s="428"/>
      <c r="D352" s="428"/>
      <c r="E352" s="428"/>
      <c r="F352" s="428"/>
      <c r="G352" s="428"/>
      <c r="H352" s="428"/>
      <c r="I352" s="428"/>
      <c r="J352" s="428"/>
      <c r="K352" s="428"/>
      <c r="L352" s="428"/>
      <c r="M352" s="428"/>
    </row>
    <row r="353" spans="1:13" ht="12.75">
      <c r="A353" s="427"/>
      <c r="B353" s="428"/>
      <c r="C353" s="428"/>
      <c r="D353" s="428"/>
      <c r="E353" s="428"/>
      <c r="F353" s="428"/>
      <c r="G353" s="428"/>
      <c r="H353" s="428"/>
      <c r="I353" s="428"/>
      <c r="J353" s="428"/>
      <c r="K353" s="428"/>
      <c r="L353" s="428"/>
      <c r="M353" s="428"/>
    </row>
    <row r="354" spans="1:13" ht="12.75">
      <c r="A354" s="427"/>
      <c r="B354" s="428"/>
      <c r="C354" s="428"/>
      <c r="D354" s="428"/>
      <c r="E354" s="428"/>
      <c r="F354" s="428"/>
      <c r="G354" s="428"/>
      <c r="H354" s="428"/>
      <c r="I354" s="428"/>
      <c r="J354" s="428"/>
      <c r="K354" s="428"/>
      <c r="L354" s="428"/>
      <c r="M354" s="428"/>
    </row>
    <row r="355" spans="1:13" ht="12.75">
      <c r="A355" s="427"/>
      <c r="B355" s="428"/>
      <c r="C355" s="428"/>
      <c r="D355" s="428"/>
      <c r="E355" s="428"/>
      <c r="F355" s="428"/>
      <c r="G355" s="428"/>
      <c r="H355" s="428"/>
      <c r="I355" s="428"/>
      <c r="J355" s="428"/>
      <c r="K355" s="428"/>
      <c r="L355" s="428"/>
      <c r="M355" s="428"/>
    </row>
    <row r="356" spans="1:13" ht="12.75">
      <c r="A356" s="427"/>
      <c r="B356" s="428"/>
      <c r="C356" s="428"/>
      <c r="D356" s="428"/>
      <c r="E356" s="428"/>
      <c r="F356" s="428"/>
      <c r="G356" s="428"/>
      <c r="H356" s="428"/>
      <c r="I356" s="428"/>
      <c r="J356" s="428"/>
      <c r="K356" s="428"/>
      <c r="L356" s="428"/>
      <c r="M356" s="428"/>
    </row>
    <row r="357" spans="1:13" ht="12.75">
      <c r="A357" s="427"/>
      <c r="B357" s="428"/>
      <c r="C357" s="428"/>
      <c r="D357" s="428"/>
      <c r="E357" s="428"/>
      <c r="F357" s="428"/>
      <c r="G357" s="428"/>
      <c r="H357" s="428"/>
      <c r="I357" s="428"/>
      <c r="J357" s="428"/>
      <c r="K357" s="428"/>
      <c r="L357" s="428"/>
      <c r="M357" s="428"/>
    </row>
    <row r="358" spans="1:13" ht="12.75">
      <c r="A358" s="427"/>
      <c r="B358" s="428"/>
      <c r="C358" s="428"/>
      <c r="D358" s="428"/>
      <c r="E358" s="428"/>
      <c r="F358" s="428"/>
      <c r="G358" s="428"/>
      <c r="H358" s="428"/>
      <c r="I358" s="428"/>
      <c r="J358" s="428"/>
      <c r="K358" s="428"/>
      <c r="L358" s="428"/>
      <c r="M358" s="428"/>
    </row>
    <row r="359" spans="1:13" ht="12.75">
      <c r="A359" s="427"/>
      <c r="B359" s="428"/>
      <c r="C359" s="428"/>
      <c r="D359" s="428"/>
      <c r="E359" s="428"/>
      <c r="F359" s="428"/>
      <c r="G359" s="428"/>
      <c r="H359" s="428"/>
      <c r="I359" s="428"/>
      <c r="J359" s="428"/>
      <c r="K359" s="428"/>
      <c r="L359" s="428"/>
      <c r="M359" s="428"/>
    </row>
    <row r="360" spans="1:13" ht="12.75">
      <c r="A360" s="427"/>
      <c r="B360" s="428"/>
      <c r="C360" s="428"/>
      <c r="D360" s="428"/>
      <c r="E360" s="428"/>
      <c r="F360" s="428"/>
      <c r="G360" s="428"/>
      <c r="H360" s="428"/>
      <c r="I360" s="428"/>
      <c r="J360" s="428"/>
      <c r="K360" s="428"/>
      <c r="L360" s="428"/>
      <c r="M360" s="428"/>
    </row>
    <row r="361" spans="1:13" ht="12.75">
      <c r="A361" s="427"/>
      <c r="B361" s="428"/>
      <c r="C361" s="428"/>
      <c r="D361" s="428"/>
      <c r="E361" s="428"/>
      <c r="F361" s="428"/>
      <c r="G361" s="428"/>
      <c r="H361" s="428"/>
      <c r="I361" s="428"/>
      <c r="J361" s="428"/>
      <c r="K361" s="428"/>
      <c r="L361" s="428"/>
      <c r="M361" s="428"/>
    </row>
    <row r="362" spans="1:13" ht="12.75">
      <c r="A362" s="427"/>
      <c r="B362" s="428"/>
      <c r="C362" s="428"/>
      <c r="D362" s="428"/>
      <c r="E362" s="428"/>
      <c r="F362" s="428"/>
      <c r="G362" s="428"/>
      <c r="H362" s="428"/>
      <c r="I362" s="428"/>
      <c r="J362" s="428"/>
      <c r="K362" s="428"/>
      <c r="L362" s="428"/>
      <c r="M362" s="428"/>
    </row>
    <row r="363" spans="1:13" ht="12.75">
      <c r="A363" s="427"/>
      <c r="B363" s="428"/>
      <c r="C363" s="428"/>
      <c r="D363" s="428"/>
      <c r="E363" s="428"/>
      <c r="F363" s="428"/>
      <c r="G363" s="428"/>
      <c r="H363" s="428"/>
      <c r="I363" s="428"/>
      <c r="J363" s="428"/>
      <c r="K363" s="428"/>
      <c r="L363" s="428"/>
      <c r="M363" s="428"/>
    </row>
    <row r="364" spans="1:13" ht="12.75">
      <c r="A364" s="427"/>
      <c r="B364" s="428"/>
      <c r="C364" s="428"/>
      <c r="D364" s="428"/>
      <c r="E364" s="428"/>
      <c r="F364" s="428"/>
      <c r="G364" s="428"/>
      <c r="H364" s="428"/>
      <c r="I364" s="428"/>
      <c r="J364" s="428"/>
      <c r="K364" s="428"/>
      <c r="L364" s="428"/>
      <c r="M364" s="428"/>
    </row>
    <row r="365" spans="1:13" ht="12.75">
      <c r="A365" s="427"/>
      <c r="B365" s="428"/>
      <c r="C365" s="428"/>
      <c r="D365" s="428"/>
      <c r="E365" s="428"/>
      <c r="F365" s="428"/>
      <c r="G365" s="428"/>
      <c r="H365" s="428"/>
      <c r="I365" s="428"/>
      <c r="J365" s="428"/>
      <c r="K365" s="428"/>
      <c r="L365" s="428"/>
      <c r="M365" s="428"/>
    </row>
    <row r="366" spans="1:13" ht="12.75">
      <c r="A366" s="427"/>
      <c r="B366" s="428"/>
      <c r="C366" s="428"/>
      <c r="D366" s="428"/>
      <c r="E366" s="428"/>
      <c r="F366" s="428"/>
      <c r="G366" s="428"/>
      <c r="H366" s="428"/>
      <c r="I366" s="428"/>
      <c r="J366" s="428"/>
      <c r="K366" s="428"/>
      <c r="L366" s="428"/>
      <c r="M366" s="428"/>
    </row>
    <row r="367" spans="1:13" ht="12.75">
      <c r="A367" s="427"/>
      <c r="B367" s="428"/>
      <c r="C367" s="428"/>
      <c r="D367" s="428"/>
      <c r="E367" s="428"/>
      <c r="F367" s="428"/>
      <c r="G367" s="428"/>
      <c r="H367" s="428"/>
      <c r="I367" s="428"/>
      <c r="J367" s="428"/>
      <c r="K367" s="428"/>
      <c r="L367" s="428"/>
      <c r="M367" s="428"/>
    </row>
    <row r="368" spans="1:13" ht="12.75">
      <c r="A368" s="427"/>
      <c r="B368" s="428"/>
      <c r="C368" s="428"/>
      <c r="D368" s="428"/>
      <c r="E368" s="428"/>
      <c r="F368" s="428"/>
      <c r="G368" s="428"/>
      <c r="H368" s="428"/>
      <c r="I368" s="428"/>
      <c r="J368" s="428"/>
      <c r="K368" s="428"/>
      <c r="L368" s="428"/>
      <c r="M368" s="428"/>
    </row>
    <row r="369" spans="1:13" ht="12.75">
      <c r="A369" s="427"/>
      <c r="B369" s="428"/>
      <c r="C369" s="428"/>
      <c r="D369" s="428"/>
      <c r="E369" s="428"/>
      <c r="F369" s="428"/>
      <c r="G369" s="428"/>
      <c r="H369" s="428"/>
      <c r="I369" s="428"/>
      <c r="J369" s="428"/>
      <c r="K369" s="428"/>
      <c r="L369" s="428"/>
      <c r="M369" s="428"/>
    </row>
    <row r="370" spans="1:13" ht="12.75">
      <c r="A370" s="427"/>
      <c r="B370" s="428"/>
      <c r="C370" s="428"/>
      <c r="D370" s="428"/>
      <c r="E370" s="428"/>
      <c r="F370" s="428"/>
      <c r="G370" s="428"/>
      <c r="H370" s="428"/>
      <c r="I370" s="428"/>
      <c r="J370" s="428"/>
      <c r="K370" s="428"/>
      <c r="L370" s="428"/>
      <c r="M370" s="428"/>
    </row>
    <row r="371" spans="1:13" ht="12.75">
      <c r="A371" s="427"/>
      <c r="B371" s="428"/>
      <c r="C371" s="428"/>
      <c r="D371" s="428"/>
      <c r="E371" s="428"/>
      <c r="F371" s="428"/>
      <c r="G371" s="428"/>
      <c r="H371" s="428"/>
      <c r="I371" s="428"/>
      <c r="J371" s="428"/>
      <c r="K371" s="428"/>
      <c r="L371" s="428"/>
      <c r="M371" s="428"/>
    </row>
    <row r="372" spans="1:13" ht="12.75">
      <c r="A372" s="427"/>
      <c r="B372" s="428"/>
      <c r="C372" s="428"/>
      <c r="D372" s="428"/>
      <c r="E372" s="428"/>
      <c r="F372" s="428"/>
      <c r="G372" s="428"/>
      <c r="H372" s="428"/>
      <c r="I372" s="428"/>
      <c r="J372" s="428"/>
      <c r="K372" s="428"/>
      <c r="L372" s="428"/>
      <c r="M372" s="428"/>
    </row>
    <row r="373" spans="1:13" ht="12.75">
      <c r="A373" s="427"/>
      <c r="B373" s="428"/>
      <c r="C373" s="428"/>
      <c r="D373" s="428"/>
      <c r="E373" s="428"/>
      <c r="F373" s="428"/>
      <c r="G373" s="428"/>
      <c r="H373" s="428"/>
      <c r="I373" s="428"/>
      <c r="J373" s="428"/>
      <c r="K373" s="428"/>
      <c r="L373" s="428"/>
      <c r="M373" s="428"/>
    </row>
    <row r="374" spans="1:13" ht="12.75">
      <c r="A374" s="427"/>
      <c r="B374" s="428"/>
      <c r="C374" s="428"/>
      <c r="D374" s="428"/>
      <c r="E374" s="428"/>
      <c r="F374" s="428"/>
      <c r="G374" s="428"/>
      <c r="H374" s="428"/>
      <c r="I374" s="428"/>
      <c r="J374" s="428"/>
      <c r="K374" s="428"/>
      <c r="L374" s="428"/>
      <c r="M374" s="428"/>
    </row>
    <row r="375" spans="1:13" ht="12.75">
      <c r="A375" s="427"/>
      <c r="B375" s="428"/>
      <c r="C375" s="428"/>
      <c r="D375" s="428"/>
      <c r="E375" s="428"/>
      <c r="F375" s="428"/>
      <c r="G375" s="428"/>
      <c r="H375" s="428"/>
      <c r="I375" s="428"/>
      <c r="J375" s="428"/>
      <c r="K375" s="428"/>
      <c r="L375" s="428"/>
      <c r="M375" s="428"/>
    </row>
    <row r="376" spans="1:13" ht="12.75">
      <c r="A376" s="427"/>
      <c r="B376" s="428"/>
      <c r="C376" s="428"/>
      <c r="D376" s="428"/>
      <c r="E376" s="428"/>
      <c r="F376" s="428"/>
      <c r="G376" s="428"/>
      <c r="H376" s="428"/>
      <c r="I376" s="428"/>
      <c r="J376" s="428"/>
      <c r="K376" s="428"/>
      <c r="L376" s="428"/>
      <c r="M376" s="428"/>
    </row>
    <row r="377" spans="1:13" ht="12.75">
      <c r="A377" s="427"/>
      <c r="B377" s="428"/>
      <c r="C377" s="428"/>
      <c r="D377" s="428"/>
      <c r="E377" s="428"/>
      <c r="F377" s="428"/>
      <c r="G377" s="428"/>
      <c r="H377" s="428"/>
      <c r="I377" s="428"/>
      <c r="J377" s="428"/>
      <c r="K377" s="428"/>
      <c r="L377" s="428"/>
      <c r="M377" s="428"/>
    </row>
    <row r="378" spans="1:13" ht="12.75">
      <c r="A378" s="427"/>
      <c r="B378" s="428"/>
      <c r="C378" s="428"/>
      <c r="D378" s="428"/>
      <c r="E378" s="428"/>
      <c r="F378" s="428"/>
      <c r="G378" s="428"/>
      <c r="H378" s="428"/>
      <c r="I378" s="428"/>
      <c r="J378" s="428"/>
      <c r="K378" s="428"/>
      <c r="L378" s="428"/>
      <c r="M378" s="428"/>
    </row>
    <row r="379" spans="1:13" ht="12.75">
      <c r="A379" s="427"/>
      <c r="B379" s="428"/>
      <c r="C379" s="428"/>
      <c r="D379" s="428"/>
      <c r="E379" s="428"/>
      <c r="F379" s="428"/>
      <c r="G379" s="428"/>
      <c r="H379" s="428"/>
      <c r="I379" s="428"/>
      <c r="J379" s="428"/>
      <c r="K379" s="428"/>
      <c r="L379" s="428"/>
      <c r="M379" s="428"/>
    </row>
    <row r="380" spans="1:13" ht="12.75">
      <c r="A380" s="427"/>
      <c r="B380" s="428"/>
      <c r="C380" s="428"/>
      <c r="D380" s="428"/>
      <c r="E380" s="428"/>
      <c r="F380" s="428"/>
      <c r="G380" s="428"/>
      <c r="H380" s="428"/>
      <c r="I380" s="428"/>
      <c r="J380" s="428"/>
      <c r="K380" s="428"/>
      <c r="L380" s="428"/>
      <c r="M380" s="428"/>
    </row>
    <row r="381" spans="1:13" ht="12.75">
      <c r="A381" s="427"/>
      <c r="B381" s="428"/>
      <c r="C381" s="428"/>
      <c r="D381" s="428"/>
      <c r="E381" s="428"/>
      <c r="F381" s="428"/>
      <c r="G381" s="428"/>
      <c r="H381" s="428"/>
      <c r="I381" s="428"/>
      <c r="J381" s="428"/>
      <c r="K381" s="428"/>
      <c r="L381" s="428"/>
      <c r="M381" s="428"/>
    </row>
    <row r="382" spans="1:13" ht="12.75">
      <c r="A382" s="427"/>
      <c r="B382" s="428"/>
      <c r="C382" s="428"/>
      <c r="D382" s="428"/>
      <c r="E382" s="428"/>
      <c r="F382" s="428"/>
      <c r="G382" s="428"/>
      <c r="H382" s="428"/>
      <c r="I382" s="428"/>
      <c r="J382" s="428"/>
      <c r="K382" s="428"/>
      <c r="L382" s="428"/>
      <c r="M382" s="428"/>
    </row>
    <row r="383" spans="1:13" ht="12.75">
      <c r="A383" s="427"/>
      <c r="B383" s="428"/>
      <c r="C383" s="428"/>
      <c r="D383" s="428"/>
      <c r="E383" s="428"/>
      <c r="F383" s="428"/>
      <c r="G383" s="428"/>
      <c r="H383" s="428"/>
      <c r="I383" s="428"/>
      <c r="J383" s="428"/>
      <c r="K383" s="428"/>
      <c r="L383" s="428"/>
      <c r="M383" s="428"/>
    </row>
    <row r="384" spans="1:13" ht="12.75">
      <c r="A384" s="427"/>
      <c r="B384" s="428"/>
      <c r="C384" s="428"/>
      <c r="D384" s="428"/>
      <c r="E384" s="428"/>
      <c r="F384" s="428"/>
      <c r="G384" s="428"/>
      <c r="H384" s="428"/>
      <c r="I384" s="428"/>
      <c r="J384" s="428"/>
      <c r="K384" s="428"/>
      <c r="L384" s="428"/>
      <c r="M384" s="428"/>
    </row>
    <row r="385" spans="1:13" ht="12.75">
      <c r="A385" s="427"/>
      <c r="B385" s="428"/>
      <c r="C385" s="428"/>
      <c r="D385" s="428"/>
      <c r="E385" s="428"/>
      <c r="F385" s="428"/>
      <c r="G385" s="428"/>
      <c r="H385" s="428"/>
      <c r="I385" s="428"/>
      <c r="J385" s="428"/>
      <c r="K385" s="428"/>
      <c r="L385" s="428"/>
      <c r="M385" s="428"/>
    </row>
    <row r="386" spans="1:13" ht="12.75">
      <c r="A386" s="427"/>
      <c r="B386" s="428"/>
      <c r="C386" s="428"/>
      <c r="D386" s="428"/>
      <c r="E386" s="428"/>
      <c r="F386" s="428"/>
      <c r="G386" s="428"/>
      <c r="H386" s="428"/>
      <c r="I386" s="428"/>
      <c r="J386" s="428"/>
      <c r="K386" s="428"/>
      <c r="L386" s="428"/>
      <c r="M386" s="428"/>
    </row>
    <row r="387" spans="1:13" ht="12.75">
      <c r="A387" s="427"/>
      <c r="B387" s="428"/>
      <c r="C387" s="428"/>
      <c r="D387" s="428"/>
      <c r="E387" s="428"/>
      <c r="F387" s="428"/>
      <c r="G387" s="428"/>
      <c r="H387" s="428"/>
      <c r="I387" s="428"/>
      <c r="J387" s="428"/>
      <c r="K387" s="428"/>
      <c r="L387" s="428"/>
      <c r="M387" s="428"/>
    </row>
    <row r="388" spans="1:13" ht="12.75">
      <c r="A388" s="427"/>
      <c r="B388" s="428"/>
      <c r="C388" s="428"/>
      <c r="D388" s="428"/>
      <c r="E388" s="428"/>
      <c r="F388" s="428"/>
      <c r="G388" s="428"/>
      <c r="H388" s="428"/>
      <c r="I388" s="428"/>
      <c r="J388" s="428"/>
      <c r="K388" s="428"/>
      <c r="L388" s="428"/>
      <c r="M388" s="428"/>
    </row>
    <row r="389" spans="1:13" ht="12.75">
      <c r="A389" s="427"/>
      <c r="B389" s="428"/>
      <c r="C389" s="428"/>
      <c r="D389" s="428"/>
      <c r="E389" s="428"/>
      <c r="F389" s="428"/>
      <c r="G389" s="428"/>
      <c r="H389" s="428"/>
      <c r="I389" s="428"/>
      <c r="J389" s="428"/>
      <c r="K389" s="428"/>
      <c r="L389" s="428"/>
      <c r="M389" s="428"/>
    </row>
    <row r="390" spans="1:13" ht="12.75">
      <c r="A390" s="427"/>
      <c r="B390" s="428"/>
      <c r="C390" s="428"/>
      <c r="D390" s="428"/>
      <c r="E390" s="428"/>
      <c r="F390" s="428"/>
      <c r="G390" s="428"/>
      <c r="H390" s="428"/>
      <c r="I390" s="428"/>
      <c r="J390" s="428"/>
      <c r="K390" s="428"/>
      <c r="L390" s="428"/>
      <c r="M390" s="428"/>
    </row>
    <row r="391" spans="1:13" ht="12.75">
      <c r="A391" s="427"/>
      <c r="B391" s="428"/>
      <c r="C391" s="428"/>
      <c r="D391" s="428"/>
      <c r="E391" s="428"/>
      <c r="F391" s="428"/>
      <c r="G391" s="428"/>
      <c r="H391" s="428"/>
      <c r="I391" s="428"/>
      <c r="J391" s="428"/>
      <c r="K391" s="428"/>
      <c r="L391" s="428"/>
      <c r="M391" s="428"/>
    </row>
    <row r="392" spans="1:13" ht="12.75">
      <c r="A392" s="427"/>
      <c r="B392" s="428"/>
      <c r="C392" s="428"/>
      <c r="D392" s="428"/>
      <c r="E392" s="428"/>
      <c r="F392" s="428"/>
      <c r="G392" s="428"/>
      <c r="H392" s="428"/>
      <c r="I392" s="428"/>
      <c r="J392" s="428"/>
      <c r="K392" s="428"/>
      <c r="L392" s="428"/>
      <c r="M392" s="428"/>
    </row>
    <row r="393" spans="1:13" ht="12.75">
      <c r="A393" s="427"/>
      <c r="B393" s="428"/>
      <c r="C393" s="428"/>
      <c r="D393" s="428"/>
      <c r="E393" s="428"/>
      <c r="F393" s="428"/>
      <c r="G393" s="428"/>
      <c r="H393" s="428"/>
      <c r="I393" s="428"/>
      <c r="J393" s="428"/>
      <c r="K393" s="428"/>
      <c r="L393" s="428"/>
      <c r="M393" s="428"/>
    </row>
    <row r="394" spans="1:13" ht="12.75">
      <c r="A394" s="427"/>
      <c r="B394" s="428"/>
      <c r="C394" s="428"/>
      <c r="D394" s="428"/>
      <c r="E394" s="428"/>
      <c r="F394" s="428"/>
      <c r="G394" s="428"/>
      <c r="H394" s="428"/>
      <c r="I394" s="428"/>
      <c r="J394" s="428"/>
      <c r="K394" s="428"/>
      <c r="L394" s="428"/>
      <c r="M394" s="428"/>
    </row>
    <row r="395" spans="1:13" ht="12.75">
      <c r="A395" s="427"/>
      <c r="B395" s="428"/>
      <c r="C395" s="428"/>
      <c r="D395" s="428"/>
      <c r="E395" s="428"/>
      <c r="F395" s="428"/>
      <c r="G395" s="428"/>
      <c r="H395" s="428"/>
      <c r="I395" s="428"/>
      <c r="J395" s="428"/>
      <c r="K395" s="428"/>
      <c r="L395" s="428"/>
      <c r="M395" s="428"/>
    </row>
    <row r="396" spans="1:13" ht="12.75">
      <c r="A396" s="427"/>
      <c r="B396" s="428"/>
      <c r="C396" s="428"/>
      <c r="D396" s="428"/>
      <c r="E396" s="428"/>
      <c r="F396" s="428"/>
      <c r="G396" s="428"/>
      <c r="H396" s="428"/>
      <c r="I396" s="428"/>
      <c r="J396" s="428"/>
      <c r="K396" s="428"/>
      <c r="L396" s="428"/>
      <c r="M396" s="428"/>
    </row>
    <row r="397" spans="1:13" ht="12.75">
      <c r="A397" s="427"/>
      <c r="B397" s="428"/>
      <c r="C397" s="428"/>
      <c r="D397" s="428"/>
      <c r="E397" s="428"/>
      <c r="F397" s="428"/>
      <c r="G397" s="428"/>
      <c r="H397" s="428"/>
      <c r="I397" s="428"/>
      <c r="J397" s="428"/>
      <c r="K397" s="428"/>
      <c r="L397" s="428"/>
      <c r="M397" s="428"/>
    </row>
    <row r="398" spans="1:13" ht="12.75">
      <c r="A398" s="427"/>
      <c r="B398" s="428"/>
      <c r="C398" s="428"/>
      <c r="D398" s="428"/>
      <c r="E398" s="428"/>
      <c r="F398" s="428"/>
      <c r="G398" s="428"/>
      <c r="H398" s="428"/>
      <c r="I398" s="428"/>
      <c r="J398" s="428"/>
      <c r="K398" s="428"/>
      <c r="L398" s="428"/>
      <c r="M398" s="428"/>
    </row>
    <row r="399" spans="1:13" ht="12.75">
      <c r="A399" s="427"/>
      <c r="B399" s="428"/>
      <c r="C399" s="428"/>
      <c r="D399" s="428"/>
      <c r="E399" s="428"/>
      <c r="F399" s="428"/>
      <c r="G399" s="428"/>
      <c r="H399" s="428"/>
      <c r="I399" s="428"/>
      <c r="J399" s="428"/>
      <c r="K399" s="428"/>
      <c r="L399" s="428"/>
      <c r="M399" s="428"/>
    </row>
    <row r="400" spans="1:13" ht="12.75">
      <c r="A400" s="427"/>
      <c r="B400" s="428"/>
      <c r="C400" s="428"/>
      <c r="D400" s="428"/>
      <c r="E400" s="428"/>
      <c r="F400" s="428"/>
      <c r="G400" s="428"/>
      <c r="H400" s="428"/>
      <c r="I400" s="428"/>
      <c r="J400" s="428"/>
      <c r="K400" s="428"/>
      <c r="L400" s="428"/>
      <c r="M400" s="428"/>
    </row>
    <row r="401" spans="1:13" ht="12.75">
      <c r="A401" s="427"/>
      <c r="B401" s="428"/>
      <c r="C401" s="428"/>
      <c r="D401" s="428"/>
      <c r="E401" s="428"/>
      <c r="F401" s="428"/>
      <c r="G401" s="428"/>
      <c r="H401" s="428"/>
      <c r="I401" s="428"/>
      <c r="J401" s="428"/>
      <c r="K401" s="428"/>
      <c r="L401" s="428"/>
      <c r="M401" s="428"/>
    </row>
    <row r="402" spans="1:13" ht="12.75">
      <c r="A402" s="427"/>
      <c r="B402" s="428"/>
      <c r="C402" s="428"/>
      <c r="D402" s="428"/>
      <c r="E402" s="428"/>
      <c r="F402" s="428"/>
      <c r="G402" s="428"/>
      <c r="H402" s="428"/>
      <c r="I402" s="428"/>
      <c r="J402" s="428"/>
      <c r="K402" s="428"/>
      <c r="L402" s="428"/>
      <c r="M402" s="428"/>
    </row>
    <row r="403" spans="1:13" ht="12.75">
      <c r="A403" s="427"/>
      <c r="B403" s="428"/>
      <c r="C403" s="428"/>
      <c r="D403" s="428"/>
      <c r="E403" s="428"/>
      <c r="F403" s="428"/>
      <c r="G403" s="428"/>
      <c r="H403" s="428"/>
      <c r="I403" s="428"/>
      <c r="J403" s="428"/>
      <c r="K403" s="428"/>
      <c r="L403" s="428"/>
      <c r="M403" s="428"/>
    </row>
    <row r="404" spans="1:13" ht="12.75">
      <c r="A404" s="427"/>
      <c r="B404" s="428"/>
      <c r="C404" s="428"/>
      <c r="D404" s="428"/>
      <c r="E404" s="428"/>
      <c r="F404" s="428"/>
      <c r="G404" s="428"/>
      <c r="H404" s="428"/>
      <c r="I404" s="428"/>
      <c r="J404" s="428"/>
      <c r="K404" s="428"/>
      <c r="L404" s="428"/>
      <c r="M404" s="428"/>
    </row>
    <row r="405" spans="1:13" ht="12.75">
      <c r="A405" s="427"/>
      <c r="B405" s="428"/>
      <c r="C405" s="428"/>
      <c r="D405" s="428"/>
      <c r="E405" s="428"/>
      <c r="F405" s="428"/>
      <c r="G405" s="428"/>
      <c r="H405" s="428"/>
      <c r="I405" s="428"/>
      <c r="J405" s="428"/>
      <c r="K405" s="428"/>
      <c r="L405" s="428"/>
      <c r="M405" s="428"/>
    </row>
    <row r="406" spans="1:13" ht="12.75">
      <c r="A406" s="427"/>
      <c r="B406" s="428"/>
      <c r="C406" s="428"/>
      <c r="D406" s="428"/>
      <c r="E406" s="428"/>
      <c r="F406" s="428"/>
      <c r="G406" s="428"/>
      <c r="H406" s="428"/>
      <c r="I406" s="428"/>
      <c r="J406" s="428"/>
      <c r="K406" s="428"/>
      <c r="L406" s="428"/>
      <c r="M406" s="428"/>
    </row>
    <row r="407" spans="1:13" ht="12.75">
      <c r="A407" s="427"/>
      <c r="B407" s="428"/>
      <c r="C407" s="428"/>
      <c r="D407" s="428"/>
      <c r="E407" s="428"/>
      <c r="F407" s="428"/>
      <c r="G407" s="428"/>
      <c r="H407" s="428"/>
      <c r="I407" s="428"/>
      <c r="J407" s="428"/>
      <c r="K407" s="428"/>
      <c r="L407" s="428"/>
      <c r="M407" s="428"/>
    </row>
    <row r="408" spans="1:13" ht="12.75">
      <c r="A408" s="427"/>
      <c r="B408" s="428"/>
      <c r="C408" s="428"/>
      <c r="D408" s="428"/>
      <c r="E408" s="428"/>
      <c r="F408" s="428"/>
      <c r="G408" s="428"/>
      <c r="H408" s="428"/>
      <c r="I408" s="428"/>
      <c r="J408" s="428"/>
      <c r="K408" s="428"/>
      <c r="L408" s="428"/>
      <c r="M408" s="428"/>
    </row>
    <row r="409" spans="1:13" ht="12.75">
      <c r="A409" s="427"/>
      <c r="B409" s="428"/>
      <c r="C409" s="428"/>
      <c r="D409" s="428"/>
      <c r="E409" s="428"/>
      <c r="F409" s="428"/>
      <c r="G409" s="428"/>
      <c r="H409" s="428"/>
      <c r="I409" s="428"/>
      <c r="J409" s="428"/>
      <c r="K409" s="428"/>
      <c r="L409" s="428"/>
      <c r="M409" s="428"/>
    </row>
    <row r="410" spans="1:13" ht="12.75">
      <c r="A410" s="427"/>
      <c r="B410" s="428"/>
      <c r="C410" s="428"/>
      <c r="D410" s="428"/>
      <c r="E410" s="428"/>
      <c r="F410" s="428"/>
      <c r="G410" s="428"/>
      <c r="H410" s="428"/>
      <c r="I410" s="428"/>
      <c r="J410" s="428"/>
      <c r="K410" s="428"/>
      <c r="L410" s="428"/>
      <c r="M410" s="428"/>
    </row>
    <row r="411" spans="1:13" ht="12.75">
      <c r="A411" s="427"/>
      <c r="B411" s="428"/>
      <c r="C411" s="428"/>
      <c r="D411" s="428"/>
      <c r="E411" s="428"/>
      <c r="F411" s="428"/>
      <c r="G411" s="428"/>
      <c r="H411" s="428"/>
      <c r="I411" s="428"/>
      <c r="J411" s="428"/>
      <c r="K411" s="428"/>
      <c r="L411" s="428"/>
      <c r="M411" s="428"/>
    </row>
    <row r="412" spans="1:13" ht="12.75">
      <c r="A412" s="427"/>
      <c r="B412" s="428"/>
      <c r="C412" s="428"/>
      <c r="D412" s="428"/>
      <c r="E412" s="428"/>
      <c r="F412" s="428"/>
      <c r="G412" s="428"/>
      <c r="H412" s="428"/>
      <c r="I412" s="428"/>
      <c r="J412" s="428"/>
      <c r="K412" s="428"/>
      <c r="L412" s="428"/>
      <c r="M412" s="428"/>
    </row>
    <row r="413" spans="1:13" ht="12.75">
      <c r="A413" s="427"/>
      <c r="B413" s="428"/>
      <c r="C413" s="428"/>
      <c r="D413" s="428"/>
      <c r="E413" s="428"/>
      <c r="F413" s="428"/>
      <c r="G413" s="428"/>
      <c r="H413" s="428"/>
      <c r="I413" s="428"/>
      <c r="J413" s="428"/>
      <c r="K413" s="428"/>
      <c r="L413" s="428"/>
      <c r="M413" s="428"/>
    </row>
    <row r="414" spans="1:13" ht="12.75">
      <c r="A414" s="427"/>
      <c r="B414" s="428"/>
      <c r="C414" s="428"/>
      <c r="D414" s="428"/>
      <c r="E414" s="428"/>
      <c r="F414" s="428"/>
      <c r="G414" s="428"/>
      <c r="H414" s="428"/>
      <c r="I414" s="428"/>
      <c r="J414" s="428"/>
      <c r="K414" s="428"/>
      <c r="L414" s="428"/>
      <c r="M414" s="428"/>
    </row>
    <row r="415" spans="1:13" ht="12.75">
      <c r="A415" s="427"/>
      <c r="B415" s="428"/>
      <c r="C415" s="428"/>
      <c r="D415" s="428"/>
      <c r="E415" s="428"/>
      <c r="F415" s="428"/>
      <c r="G415" s="428"/>
      <c r="H415" s="428"/>
      <c r="I415" s="428"/>
      <c r="J415" s="428"/>
      <c r="K415" s="428"/>
      <c r="L415" s="428"/>
      <c r="M415" s="428"/>
    </row>
    <row r="416" spans="1:13" ht="12.75">
      <c r="A416" s="427"/>
      <c r="B416" s="428"/>
      <c r="C416" s="428"/>
      <c r="D416" s="428"/>
      <c r="E416" s="428"/>
      <c r="F416" s="428"/>
      <c r="G416" s="428"/>
      <c r="H416" s="428"/>
      <c r="I416" s="428"/>
      <c r="J416" s="428"/>
      <c r="K416" s="428"/>
      <c r="L416" s="428"/>
      <c r="M416" s="428"/>
    </row>
    <row r="417" spans="1:13" ht="12.75">
      <c r="A417" s="427"/>
      <c r="B417" s="428"/>
      <c r="C417" s="428"/>
      <c r="D417" s="428"/>
      <c r="E417" s="428"/>
      <c r="F417" s="428"/>
      <c r="G417" s="428"/>
      <c r="H417" s="428"/>
      <c r="I417" s="428"/>
      <c r="J417" s="428"/>
      <c r="K417" s="428"/>
      <c r="L417" s="428"/>
      <c r="M417" s="428"/>
    </row>
    <row r="418" spans="1:13" ht="12.75">
      <c r="A418" s="427"/>
      <c r="B418" s="428"/>
      <c r="C418" s="428"/>
      <c r="D418" s="428"/>
      <c r="E418" s="428"/>
      <c r="F418" s="428"/>
      <c r="G418" s="428"/>
      <c r="H418" s="428"/>
      <c r="I418" s="428"/>
      <c r="J418" s="428"/>
      <c r="K418" s="428"/>
      <c r="L418" s="428"/>
      <c r="M418" s="428"/>
    </row>
    <row r="419" spans="1:13" ht="12.75">
      <c r="A419" s="427"/>
      <c r="B419" s="428"/>
      <c r="C419" s="428"/>
      <c r="D419" s="428"/>
      <c r="E419" s="428"/>
      <c r="F419" s="428"/>
      <c r="G419" s="428"/>
      <c r="H419" s="428"/>
      <c r="I419" s="428"/>
      <c r="J419" s="428"/>
      <c r="K419" s="428"/>
      <c r="L419" s="428"/>
      <c r="M419" s="428"/>
    </row>
    <row r="420" spans="1:13" ht="12.75">
      <c r="A420" s="427"/>
      <c r="B420" s="428"/>
      <c r="C420" s="428"/>
      <c r="D420" s="428"/>
      <c r="E420" s="428"/>
      <c r="F420" s="428"/>
      <c r="G420" s="428"/>
      <c r="H420" s="428"/>
      <c r="I420" s="428"/>
      <c r="J420" s="428"/>
      <c r="K420" s="428"/>
      <c r="L420" s="428"/>
      <c r="M420" s="428"/>
    </row>
    <row r="421" spans="1:13" ht="12.75">
      <c r="A421" s="427"/>
      <c r="B421" s="428"/>
      <c r="C421" s="428"/>
      <c r="D421" s="428"/>
      <c r="E421" s="428"/>
      <c r="F421" s="428"/>
      <c r="G421" s="428"/>
      <c r="H421" s="428"/>
      <c r="I421" s="428"/>
      <c r="J421" s="428"/>
      <c r="K421" s="428"/>
      <c r="L421" s="428"/>
      <c r="M421" s="428"/>
    </row>
    <row r="422" spans="1:13" ht="12.75">
      <c r="A422" s="427"/>
      <c r="B422" s="428"/>
      <c r="C422" s="428"/>
      <c r="D422" s="428"/>
      <c r="E422" s="428"/>
      <c r="F422" s="428"/>
      <c r="G422" s="428"/>
      <c r="H422" s="428"/>
      <c r="I422" s="428"/>
      <c r="J422" s="428"/>
      <c r="K422" s="428"/>
      <c r="L422" s="428"/>
      <c r="M422" s="428"/>
    </row>
    <row r="423" spans="1:13" ht="12.75">
      <c r="A423" s="427"/>
      <c r="B423" s="428"/>
      <c r="C423" s="428"/>
      <c r="D423" s="428"/>
      <c r="E423" s="428"/>
      <c r="F423" s="428"/>
      <c r="G423" s="428"/>
      <c r="H423" s="428"/>
      <c r="I423" s="428"/>
      <c r="J423" s="428"/>
      <c r="K423" s="428"/>
      <c r="L423" s="428"/>
      <c r="M423" s="428"/>
    </row>
    <row r="424" spans="1:13" ht="12.75">
      <c r="A424" s="427"/>
      <c r="B424" s="428"/>
      <c r="C424" s="428"/>
      <c r="D424" s="428"/>
      <c r="E424" s="428"/>
      <c r="F424" s="428"/>
      <c r="G424" s="428"/>
      <c r="H424" s="428"/>
      <c r="I424" s="428"/>
      <c r="J424" s="428"/>
      <c r="K424" s="428"/>
      <c r="L424" s="428"/>
      <c r="M424" s="428"/>
    </row>
    <row r="425" spans="1:13" ht="12.75">
      <c r="A425" s="427"/>
      <c r="B425" s="428"/>
      <c r="C425" s="428"/>
      <c r="D425" s="428"/>
      <c r="E425" s="428"/>
      <c r="F425" s="428"/>
      <c r="G425" s="428"/>
      <c r="H425" s="428"/>
      <c r="I425" s="428"/>
      <c r="J425" s="428"/>
      <c r="K425" s="428"/>
      <c r="L425" s="428"/>
      <c r="M425" s="428"/>
    </row>
    <row r="426" spans="1:13" ht="12.75">
      <c r="A426" s="427"/>
      <c r="B426" s="428"/>
      <c r="C426" s="428"/>
      <c r="D426" s="428"/>
      <c r="E426" s="428"/>
      <c r="F426" s="428"/>
      <c r="G426" s="428"/>
      <c r="H426" s="428"/>
      <c r="I426" s="428"/>
      <c r="J426" s="428"/>
      <c r="K426" s="428"/>
      <c r="L426" s="428"/>
      <c r="M426" s="428"/>
    </row>
    <row r="427" spans="1:13" ht="12.75">
      <c r="A427" s="427"/>
      <c r="B427" s="428"/>
      <c r="C427" s="428"/>
      <c r="D427" s="428"/>
      <c r="E427" s="428"/>
      <c r="F427" s="428"/>
      <c r="G427" s="428"/>
      <c r="H427" s="428"/>
      <c r="I427" s="428"/>
      <c r="J427" s="428"/>
      <c r="K427" s="428"/>
      <c r="L427" s="428"/>
      <c r="M427" s="428"/>
    </row>
    <row r="428" spans="1:13" ht="12.75">
      <c r="A428" s="427"/>
      <c r="B428" s="428"/>
      <c r="C428" s="428"/>
      <c r="D428" s="428"/>
      <c r="E428" s="428"/>
      <c r="F428" s="428"/>
      <c r="G428" s="428"/>
      <c r="H428" s="428"/>
      <c r="I428" s="428"/>
      <c r="J428" s="428"/>
      <c r="K428" s="428"/>
      <c r="L428" s="428"/>
      <c r="M428" s="428"/>
    </row>
    <row r="429" spans="1:13" ht="12.75">
      <c r="A429" s="427"/>
      <c r="B429" s="428"/>
      <c r="C429" s="428"/>
      <c r="D429" s="428"/>
      <c r="E429" s="428"/>
      <c r="F429" s="428"/>
      <c r="G429" s="428"/>
      <c r="H429" s="428"/>
      <c r="I429" s="428"/>
      <c r="J429" s="428"/>
      <c r="K429" s="428"/>
      <c r="L429" s="428"/>
      <c r="M429" s="428"/>
    </row>
    <row r="430" spans="1:13" ht="12.75">
      <c r="A430" s="427"/>
      <c r="B430" s="428"/>
      <c r="C430" s="428"/>
      <c r="D430" s="428"/>
      <c r="E430" s="428"/>
      <c r="F430" s="428"/>
      <c r="G430" s="428"/>
      <c r="H430" s="428"/>
      <c r="I430" s="428"/>
      <c r="J430" s="428"/>
      <c r="K430" s="428"/>
      <c r="L430" s="428"/>
      <c r="M430" s="428"/>
    </row>
    <row r="431" spans="1:13" ht="12.75">
      <c r="A431" s="427"/>
      <c r="B431" s="428"/>
      <c r="C431" s="428"/>
      <c r="D431" s="428"/>
      <c r="E431" s="428"/>
      <c r="F431" s="428"/>
      <c r="G431" s="428"/>
      <c r="H431" s="428"/>
      <c r="I431" s="428"/>
      <c r="J431" s="428"/>
      <c r="K431" s="428"/>
      <c r="L431" s="428"/>
      <c r="M431" s="428"/>
    </row>
    <row r="432" spans="1:13" ht="12.75">
      <c r="A432" s="427"/>
      <c r="B432" s="428"/>
      <c r="C432" s="428"/>
      <c r="D432" s="428"/>
      <c r="E432" s="428"/>
      <c r="F432" s="428"/>
      <c r="G432" s="428"/>
      <c r="H432" s="428"/>
      <c r="I432" s="428"/>
      <c r="J432" s="428"/>
      <c r="K432" s="428"/>
      <c r="L432" s="428"/>
      <c r="M432" s="428"/>
    </row>
    <row r="433" spans="1:13" ht="12.75">
      <c r="A433" s="427"/>
      <c r="B433" s="428"/>
      <c r="C433" s="428"/>
      <c r="D433" s="428"/>
      <c r="E433" s="428"/>
      <c r="F433" s="428"/>
      <c r="G433" s="428"/>
      <c r="H433" s="428"/>
      <c r="I433" s="428"/>
      <c r="J433" s="428"/>
      <c r="K433" s="428"/>
      <c r="L433" s="428"/>
      <c r="M433" s="428"/>
    </row>
    <row r="434" spans="1:13" ht="12.75">
      <c r="A434" s="427"/>
      <c r="B434" s="428"/>
      <c r="C434" s="428"/>
      <c r="D434" s="428"/>
      <c r="E434" s="428"/>
      <c r="F434" s="428"/>
      <c r="G434" s="428"/>
      <c r="H434" s="428"/>
      <c r="I434" s="428"/>
      <c r="J434" s="428"/>
      <c r="K434" s="428"/>
      <c r="L434" s="428"/>
      <c r="M434" s="428"/>
    </row>
    <row r="435" spans="1:13" ht="12.75">
      <c r="A435" s="427"/>
      <c r="B435" s="428"/>
      <c r="C435" s="428"/>
      <c r="D435" s="428"/>
      <c r="E435" s="428"/>
      <c r="F435" s="428"/>
      <c r="G435" s="428"/>
      <c r="H435" s="428"/>
      <c r="I435" s="428"/>
      <c r="J435" s="428"/>
      <c r="K435" s="428"/>
      <c r="L435" s="428"/>
      <c r="M435" s="428"/>
    </row>
    <row r="436" spans="1:13" ht="12.75">
      <c r="A436" s="427"/>
      <c r="B436" s="428"/>
      <c r="C436" s="428"/>
      <c r="D436" s="428"/>
      <c r="E436" s="428"/>
      <c r="F436" s="428"/>
      <c r="G436" s="428"/>
      <c r="H436" s="428"/>
      <c r="I436" s="428"/>
      <c r="J436" s="428"/>
      <c r="K436" s="428"/>
      <c r="L436" s="428"/>
      <c r="M436" s="428"/>
    </row>
    <row r="437" spans="1:13" ht="12.75">
      <c r="A437" s="427"/>
      <c r="B437" s="428"/>
      <c r="C437" s="428"/>
      <c r="D437" s="428"/>
      <c r="E437" s="428"/>
      <c r="F437" s="428"/>
      <c r="G437" s="428"/>
      <c r="H437" s="428"/>
      <c r="I437" s="428"/>
      <c r="J437" s="428"/>
      <c r="K437" s="428"/>
      <c r="L437" s="428"/>
      <c r="M437" s="428"/>
    </row>
    <row r="438" spans="1:13" ht="12.75">
      <c r="A438" s="427"/>
      <c r="B438" s="428"/>
      <c r="C438" s="428"/>
      <c r="D438" s="428"/>
      <c r="E438" s="428"/>
      <c r="F438" s="428"/>
      <c r="G438" s="428"/>
      <c r="H438" s="428"/>
      <c r="I438" s="428"/>
      <c r="J438" s="428"/>
      <c r="K438" s="428"/>
      <c r="L438" s="428"/>
      <c r="M438" s="428"/>
    </row>
    <row r="439" spans="1:13" ht="12.75">
      <c r="A439" s="427"/>
      <c r="B439" s="428"/>
      <c r="C439" s="428"/>
      <c r="D439" s="428"/>
      <c r="E439" s="428"/>
      <c r="F439" s="428"/>
      <c r="G439" s="428"/>
      <c r="H439" s="428"/>
      <c r="I439" s="428"/>
      <c r="J439" s="428"/>
      <c r="K439" s="428"/>
      <c r="L439" s="428"/>
      <c r="M439" s="428"/>
    </row>
    <row r="440" spans="1:13" ht="12.75">
      <c r="A440" s="427"/>
      <c r="B440" s="428"/>
      <c r="C440" s="428"/>
      <c r="D440" s="428"/>
      <c r="E440" s="428"/>
      <c r="F440" s="428"/>
      <c r="G440" s="428"/>
      <c r="H440" s="428"/>
      <c r="I440" s="428"/>
      <c r="J440" s="428"/>
      <c r="K440" s="428"/>
      <c r="L440" s="428"/>
      <c r="M440" s="428"/>
    </row>
    <row r="441" spans="1:13" ht="12.75">
      <c r="A441" s="427"/>
      <c r="B441" s="428"/>
      <c r="C441" s="428"/>
      <c r="D441" s="428"/>
      <c r="E441" s="428"/>
      <c r="F441" s="428"/>
      <c r="G441" s="428"/>
      <c r="H441" s="428"/>
      <c r="I441" s="428"/>
      <c r="J441" s="428"/>
      <c r="K441" s="428"/>
      <c r="L441" s="428"/>
      <c r="M441" s="428"/>
    </row>
    <row r="442" spans="1:13" ht="12.75">
      <c r="A442" s="427"/>
      <c r="B442" s="428"/>
      <c r="C442" s="428"/>
      <c r="D442" s="428"/>
      <c r="E442" s="428"/>
      <c r="F442" s="428"/>
      <c r="G442" s="428"/>
      <c r="H442" s="428"/>
      <c r="I442" s="428"/>
      <c r="J442" s="428"/>
      <c r="K442" s="428"/>
      <c r="L442" s="428"/>
      <c r="M442" s="428"/>
    </row>
    <row r="443" spans="1:13" ht="12.75">
      <c r="A443" s="427"/>
      <c r="B443" s="428"/>
      <c r="C443" s="428"/>
      <c r="D443" s="428"/>
      <c r="E443" s="428"/>
      <c r="F443" s="428"/>
      <c r="G443" s="428"/>
      <c r="H443" s="428"/>
      <c r="I443" s="428"/>
      <c r="J443" s="428"/>
      <c r="K443" s="428"/>
      <c r="L443" s="428"/>
      <c r="M443" s="428"/>
    </row>
    <row r="444" spans="1:13" ht="12.75">
      <c r="A444" s="427"/>
      <c r="B444" s="428"/>
      <c r="C444" s="428"/>
      <c r="D444" s="428"/>
      <c r="E444" s="428"/>
      <c r="F444" s="428"/>
      <c r="G444" s="428"/>
      <c r="H444" s="428"/>
      <c r="I444" s="428"/>
      <c r="J444" s="428"/>
      <c r="K444" s="428"/>
      <c r="L444" s="428"/>
      <c r="M444" s="428"/>
    </row>
    <row r="445" spans="1:13" ht="12.75">
      <c r="A445" s="427"/>
      <c r="B445" s="428"/>
      <c r="C445" s="428"/>
      <c r="D445" s="428"/>
      <c r="E445" s="428"/>
      <c r="F445" s="428"/>
      <c r="G445" s="428"/>
      <c r="H445" s="428"/>
      <c r="I445" s="428"/>
      <c r="J445" s="428"/>
      <c r="K445" s="428"/>
      <c r="L445" s="428"/>
      <c r="M445" s="428"/>
    </row>
    <row r="446" spans="1:13" ht="12.75">
      <c r="A446" s="427"/>
      <c r="B446" s="428"/>
      <c r="C446" s="428"/>
      <c r="D446" s="428"/>
      <c r="E446" s="428"/>
      <c r="F446" s="428"/>
      <c r="G446" s="428"/>
      <c r="H446" s="428"/>
      <c r="I446" s="428"/>
      <c r="J446" s="428"/>
      <c r="K446" s="428"/>
      <c r="L446" s="428"/>
      <c r="M446" s="428"/>
    </row>
    <row r="447" spans="1:13" ht="12.75">
      <c r="A447" s="427"/>
      <c r="B447" s="428"/>
      <c r="C447" s="428"/>
      <c r="D447" s="428"/>
      <c r="E447" s="428"/>
      <c r="F447" s="428"/>
      <c r="G447" s="428"/>
      <c r="H447" s="428"/>
      <c r="I447" s="428"/>
      <c r="J447" s="428"/>
      <c r="K447" s="428"/>
      <c r="L447" s="428"/>
      <c r="M447" s="428"/>
    </row>
    <row r="448" spans="1:13" ht="12.75">
      <c r="A448" s="427"/>
      <c r="B448" s="428"/>
      <c r="C448" s="428"/>
      <c r="D448" s="428"/>
      <c r="E448" s="428"/>
      <c r="F448" s="428"/>
      <c r="G448" s="428"/>
      <c r="H448" s="428"/>
      <c r="I448" s="428"/>
      <c r="J448" s="428"/>
      <c r="K448" s="428"/>
      <c r="L448" s="428"/>
      <c r="M448" s="428"/>
    </row>
    <row r="449" spans="1:13" ht="12.75">
      <c r="A449" s="427"/>
      <c r="B449" s="428"/>
      <c r="C449" s="428"/>
      <c r="D449" s="428"/>
      <c r="E449" s="428"/>
      <c r="F449" s="428"/>
      <c r="G449" s="428"/>
      <c r="H449" s="428"/>
      <c r="I449" s="428"/>
      <c r="J449" s="428"/>
      <c r="K449" s="428"/>
      <c r="L449" s="428"/>
      <c r="M449" s="428"/>
    </row>
    <row r="450" spans="1:13" ht="12.75">
      <c r="A450" s="427"/>
      <c r="B450" s="428"/>
      <c r="C450" s="428"/>
      <c r="D450" s="428"/>
      <c r="E450" s="428"/>
      <c r="F450" s="428"/>
      <c r="G450" s="428"/>
      <c r="H450" s="428"/>
      <c r="I450" s="428"/>
      <c r="J450" s="428"/>
      <c r="K450" s="428"/>
      <c r="L450" s="428"/>
      <c r="M450" s="428"/>
    </row>
    <row r="451" spans="1:13" ht="12.75">
      <c r="A451" s="427"/>
      <c r="B451" s="428"/>
      <c r="C451" s="428"/>
      <c r="D451" s="428"/>
      <c r="E451" s="428"/>
      <c r="F451" s="428"/>
      <c r="G451" s="428"/>
      <c r="H451" s="428"/>
      <c r="I451" s="428"/>
      <c r="J451" s="428"/>
      <c r="K451" s="428"/>
      <c r="L451" s="428"/>
      <c r="M451" s="428"/>
    </row>
    <row r="452" spans="1:13" ht="12.75">
      <c r="A452" s="427"/>
      <c r="B452" s="428"/>
      <c r="C452" s="428"/>
      <c r="D452" s="428"/>
      <c r="E452" s="428"/>
      <c r="F452" s="428"/>
      <c r="G452" s="428"/>
      <c r="H452" s="428"/>
      <c r="I452" s="428"/>
      <c r="J452" s="428"/>
      <c r="K452" s="428"/>
      <c r="L452" s="428"/>
      <c r="M452" s="428"/>
    </row>
    <row r="453" spans="1:13" ht="12.75">
      <c r="A453" s="427"/>
      <c r="B453" s="428"/>
      <c r="C453" s="428"/>
      <c r="D453" s="428"/>
      <c r="E453" s="428"/>
      <c r="F453" s="428"/>
      <c r="G453" s="428"/>
      <c r="H453" s="428"/>
      <c r="I453" s="428"/>
      <c r="J453" s="428"/>
      <c r="K453" s="428"/>
      <c r="L453" s="428"/>
      <c r="M453" s="428"/>
    </row>
    <row r="454" spans="1:13" ht="12.75">
      <c r="A454" s="427"/>
      <c r="B454" s="428"/>
      <c r="C454" s="428"/>
      <c r="D454" s="428"/>
      <c r="E454" s="428"/>
      <c r="F454" s="428"/>
      <c r="G454" s="428"/>
      <c r="H454" s="428"/>
      <c r="I454" s="428"/>
      <c r="J454" s="428"/>
      <c r="K454" s="428"/>
      <c r="L454" s="428"/>
      <c r="M454" s="428"/>
    </row>
    <row r="455" spans="1:13" ht="12.75">
      <c r="A455" s="427"/>
      <c r="B455" s="428"/>
      <c r="C455" s="428"/>
      <c r="D455" s="428"/>
      <c r="E455" s="428"/>
      <c r="F455" s="428"/>
      <c r="G455" s="428"/>
      <c r="H455" s="428"/>
      <c r="I455" s="428"/>
      <c r="J455" s="428"/>
      <c r="K455" s="428"/>
      <c r="L455" s="428"/>
      <c r="M455" s="428"/>
    </row>
    <row r="456" spans="1:13" ht="12.75">
      <c r="A456" s="427"/>
      <c r="B456" s="428"/>
      <c r="C456" s="428"/>
      <c r="D456" s="428"/>
      <c r="E456" s="428"/>
      <c r="F456" s="428"/>
      <c r="G456" s="428"/>
      <c r="H456" s="428"/>
      <c r="I456" s="428"/>
      <c r="J456" s="428"/>
      <c r="K456" s="428"/>
      <c r="L456" s="428"/>
      <c r="M456" s="428"/>
    </row>
    <row r="457" spans="1:13" ht="12.75">
      <c r="A457" s="427"/>
      <c r="B457" s="428"/>
      <c r="C457" s="428"/>
      <c r="D457" s="428"/>
      <c r="E457" s="428"/>
      <c r="F457" s="428"/>
      <c r="G457" s="428"/>
      <c r="H457" s="428"/>
      <c r="I457" s="428"/>
      <c r="J457" s="428"/>
      <c r="K457" s="428"/>
      <c r="L457" s="428"/>
      <c r="M457" s="428"/>
    </row>
    <row r="458" spans="1:13" ht="12.75">
      <c r="A458" s="427"/>
      <c r="B458" s="428"/>
      <c r="C458" s="428"/>
      <c r="D458" s="428"/>
      <c r="E458" s="428"/>
      <c r="F458" s="428"/>
      <c r="G458" s="428"/>
      <c r="H458" s="428"/>
      <c r="I458" s="428"/>
      <c r="J458" s="428"/>
      <c r="K458" s="428"/>
      <c r="L458" s="428"/>
      <c r="M458" s="428"/>
    </row>
    <row r="459" spans="1:13" ht="12.75">
      <c r="A459" s="427"/>
      <c r="B459" s="428"/>
      <c r="C459" s="428"/>
      <c r="D459" s="428"/>
      <c r="E459" s="428"/>
      <c r="F459" s="428"/>
      <c r="G459" s="428"/>
      <c r="H459" s="428"/>
      <c r="I459" s="428"/>
      <c r="J459" s="428"/>
      <c r="K459" s="428"/>
      <c r="L459" s="428"/>
      <c r="M459" s="428"/>
    </row>
    <row r="460" spans="1:13" ht="12.75">
      <c r="A460" s="427"/>
      <c r="B460" s="428"/>
      <c r="C460" s="428"/>
      <c r="D460" s="428"/>
      <c r="E460" s="428"/>
      <c r="F460" s="428"/>
      <c r="G460" s="428"/>
      <c r="H460" s="428"/>
      <c r="I460" s="428"/>
      <c r="J460" s="428"/>
      <c r="K460" s="428"/>
      <c r="L460" s="428"/>
      <c r="M460" s="428"/>
    </row>
    <row r="461" spans="1:13" ht="12.75">
      <c r="A461" s="427"/>
      <c r="B461" s="428"/>
      <c r="C461" s="428"/>
      <c r="D461" s="428"/>
      <c r="E461" s="428"/>
      <c r="F461" s="428"/>
      <c r="G461" s="428"/>
      <c r="H461" s="428"/>
      <c r="I461" s="428"/>
      <c r="J461" s="428"/>
      <c r="K461" s="428"/>
      <c r="L461" s="428"/>
      <c r="M461" s="428"/>
    </row>
    <row r="462" spans="1:13" ht="12.75">
      <c r="A462" s="427"/>
      <c r="B462" s="428"/>
      <c r="C462" s="428"/>
      <c r="D462" s="428"/>
      <c r="E462" s="428"/>
      <c r="F462" s="428"/>
      <c r="G462" s="428"/>
      <c r="H462" s="428"/>
      <c r="I462" s="428"/>
      <c r="J462" s="428"/>
      <c r="K462" s="428"/>
      <c r="L462" s="428"/>
      <c r="M462" s="428"/>
    </row>
    <row r="463" spans="1:13" ht="12.75">
      <c r="A463" s="427"/>
      <c r="B463" s="428"/>
      <c r="C463" s="428"/>
      <c r="D463" s="428"/>
      <c r="E463" s="428"/>
      <c r="F463" s="428"/>
      <c r="G463" s="428"/>
      <c r="H463" s="428"/>
      <c r="I463" s="428"/>
      <c r="J463" s="428"/>
      <c r="K463" s="428"/>
      <c r="L463" s="428"/>
      <c r="M463" s="428"/>
    </row>
    <row r="464" spans="1:13" ht="12.75">
      <c r="A464" s="427"/>
      <c r="B464" s="428"/>
      <c r="C464" s="428"/>
      <c r="D464" s="428"/>
      <c r="E464" s="428"/>
      <c r="F464" s="428"/>
      <c r="G464" s="428"/>
      <c r="H464" s="428"/>
      <c r="I464" s="428"/>
      <c r="J464" s="428"/>
      <c r="K464" s="428"/>
      <c r="L464" s="428"/>
      <c r="M464" s="428"/>
    </row>
    <row r="465" spans="1:13" ht="12.75">
      <c r="A465" s="427"/>
      <c r="B465" s="428"/>
      <c r="C465" s="428"/>
      <c r="D465" s="428"/>
      <c r="E465" s="428"/>
      <c r="F465" s="428"/>
      <c r="G465" s="428"/>
      <c r="H465" s="428"/>
      <c r="I465" s="428"/>
      <c r="J465" s="428"/>
      <c r="K465" s="428"/>
      <c r="L465" s="428"/>
      <c r="M465" s="428"/>
    </row>
    <row r="466" spans="1:13" ht="12.75">
      <c r="A466" s="427"/>
      <c r="B466" s="428"/>
      <c r="C466" s="428"/>
      <c r="D466" s="428"/>
      <c r="E466" s="428"/>
      <c r="F466" s="428"/>
      <c r="G466" s="428"/>
      <c r="H466" s="428"/>
      <c r="I466" s="428"/>
      <c r="J466" s="428"/>
      <c r="K466" s="428"/>
      <c r="L466" s="428"/>
      <c r="M466" s="428"/>
    </row>
    <row r="467" spans="1:13" ht="12.75">
      <c r="A467" s="427"/>
      <c r="B467" s="428"/>
      <c r="C467" s="428"/>
      <c r="D467" s="428"/>
      <c r="E467" s="428"/>
      <c r="F467" s="428"/>
      <c r="G467" s="428"/>
      <c r="H467" s="428"/>
      <c r="I467" s="428"/>
      <c r="J467" s="428"/>
      <c r="K467" s="428"/>
      <c r="L467" s="428"/>
      <c r="M467" s="428"/>
    </row>
    <row r="468" spans="1:13" ht="12.75">
      <c r="A468" s="427"/>
      <c r="B468" s="428"/>
      <c r="C468" s="428"/>
      <c r="D468" s="428"/>
      <c r="E468" s="428"/>
      <c r="F468" s="428"/>
      <c r="G468" s="428"/>
      <c r="H468" s="428"/>
      <c r="I468" s="428"/>
      <c r="J468" s="428"/>
      <c r="K468" s="428"/>
      <c r="L468" s="428"/>
      <c r="M468" s="428"/>
    </row>
    <row r="469" spans="1:13" ht="12.75">
      <c r="A469" s="427"/>
      <c r="B469" s="428"/>
      <c r="C469" s="428"/>
      <c r="D469" s="428"/>
      <c r="E469" s="428"/>
      <c r="F469" s="428"/>
      <c r="G469" s="428"/>
      <c r="H469" s="428"/>
      <c r="I469" s="428"/>
      <c r="J469" s="428"/>
      <c r="K469" s="428"/>
      <c r="L469" s="428"/>
      <c r="M469" s="428"/>
    </row>
    <row r="470" spans="1:13" ht="12.75">
      <c r="A470" s="427"/>
      <c r="B470" s="428"/>
      <c r="C470" s="428"/>
      <c r="D470" s="428"/>
      <c r="E470" s="428"/>
      <c r="F470" s="428"/>
      <c r="G470" s="428"/>
      <c r="H470" s="428"/>
      <c r="I470" s="428"/>
      <c r="J470" s="428"/>
      <c r="K470" s="428"/>
      <c r="L470" s="428"/>
      <c r="M470" s="428"/>
    </row>
    <row r="471" spans="1:13" ht="12.75">
      <c r="A471" s="427"/>
      <c r="B471" s="428"/>
      <c r="C471" s="428"/>
      <c r="D471" s="428"/>
      <c r="E471" s="428"/>
      <c r="F471" s="428"/>
      <c r="G471" s="428"/>
      <c r="H471" s="428"/>
      <c r="I471" s="428"/>
      <c r="J471" s="428"/>
      <c r="K471" s="428"/>
      <c r="L471" s="428"/>
      <c r="M471" s="428"/>
    </row>
    <row r="472" spans="1:13" ht="12.75">
      <c r="A472" s="427"/>
      <c r="B472" s="428"/>
      <c r="C472" s="428"/>
      <c r="D472" s="428"/>
      <c r="E472" s="428"/>
      <c r="F472" s="428"/>
      <c r="G472" s="428"/>
      <c r="H472" s="428"/>
      <c r="I472" s="428"/>
      <c r="J472" s="428"/>
      <c r="K472" s="428"/>
      <c r="L472" s="428"/>
      <c r="M472" s="428"/>
    </row>
    <row r="473" spans="1:13" ht="12.75">
      <c r="A473" s="427"/>
      <c r="B473" s="428"/>
      <c r="C473" s="428"/>
      <c r="D473" s="428"/>
      <c r="E473" s="428"/>
      <c r="F473" s="428"/>
      <c r="G473" s="428"/>
      <c r="H473" s="428"/>
      <c r="I473" s="428"/>
      <c r="J473" s="428"/>
      <c r="K473" s="428"/>
      <c r="L473" s="428"/>
      <c r="M473" s="428"/>
    </row>
    <row r="474" spans="1:13" ht="12.75">
      <c r="A474" s="427"/>
      <c r="B474" s="428"/>
      <c r="C474" s="428"/>
      <c r="D474" s="428"/>
      <c r="E474" s="428"/>
      <c r="F474" s="428"/>
      <c r="G474" s="428"/>
      <c r="H474" s="428"/>
      <c r="I474" s="428"/>
      <c r="J474" s="428"/>
      <c r="K474" s="428"/>
      <c r="L474" s="428"/>
      <c r="M474" s="428"/>
    </row>
    <row r="475" spans="1:13" ht="12.75">
      <c r="A475" s="427"/>
      <c r="B475" s="428"/>
      <c r="C475" s="428"/>
      <c r="D475" s="428"/>
      <c r="E475" s="428"/>
      <c r="F475" s="428"/>
      <c r="G475" s="428"/>
      <c r="H475" s="428"/>
      <c r="I475" s="428"/>
      <c r="J475" s="428"/>
      <c r="K475" s="428"/>
      <c r="L475" s="428"/>
      <c r="M475" s="428"/>
    </row>
    <row r="476" spans="1:13" ht="12.75">
      <c r="A476" s="427"/>
      <c r="B476" s="428"/>
      <c r="C476" s="428"/>
      <c r="D476" s="428"/>
      <c r="E476" s="428"/>
      <c r="F476" s="428"/>
      <c r="G476" s="428"/>
      <c r="H476" s="428"/>
      <c r="I476" s="428"/>
      <c r="J476" s="428"/>
      <c r="K476" s="428"/>
      <c r="L476" s="428"/>
      <c r="M476" s="428"/>
    </row>
    <row r="477" spans="1:13" ht="12.75">
      <c r="A477" s="427"/>
      <c r="B477" s="428"/>
      <c r="C477" s="428"/>
      <c r="D477" s="428"/>
      <c r="E477" s="428"/>
      <c r="F477" s="428"/>
      <c r="G477" s="428"/>
      <c r="H477" s="428"/>
      <c r="I477" s="428"/>
      <c r="J477" s="428"/>
      <c r="K477" s="428"/>
      <c r="L477" s="428"/>
      <c r="M477" s="428"/>
    </row>
    <row r="478" spans="1:13" ht="12.75">
      <c r="A478" s="427"/>
      <c r="B478" s="428"/>
      <c r="C478" s="428"/>
      <c r="D478" s="428"/>
      <c r="E478" s="428"/>
      <c r="F478" s="428"/>
      <c r="G478" s="428"/>
      <c r="H478" s="428"/>
      <c r="I478" s="428"/>
      <c r="J478" s="428"/>
      <c r="K478" s="428"/>
      <c r="L478" s="428"/>
      <c r="M478" s="428"/>
    </row>
    <row r="479" spans="1:13" ht="12.75">
      <c r="A479" s="427"/>
      <c r="B479" s="428"/>
      <c r="C479" s="428"/>
      <c r="D479" s="428"/>
      <c r="E479" s="428"/>
      <c r="F479" s="428"/>
      <c r="G479" s="428"/>
      <c r="H479" s="428"/>
      <c r="I479" s="428"/>
      <c r="J479" s="428"/>
      <c r="K479" s="428"/>
      <c r="L479" s="428"/>
      <c r="M479" s="428"/>
    </row>
    <row r="480" spans="1:13" ht="12.75">
      <c r="A480" s="427"/>
      <c r="B480" s="428"/>
      <c r="C480" s="428"/>
      <c r="D480" s="428"/>
      <c r="E480" s="428"/>
      <c r="F480" s="428"/>
      <c r="G480" s="428"/>
      <c r="H480" s="428"/>
      <c r="I480" s="428"/>
      <c r="J480" s="428"/>
      <c r="K480" s="428"/>
      <c r="L480" s="428"/>
      <c r="M480" s="428"/>
    </row>
    <row r="481" spans="1:13" ht="12.75">
      <c r="A481" s="427"/>
      <c r="B481" s="428"/>
      <c r="C481" s="428"/>
      <c r="D481" s="428"/>
      <c r="E481" s="428"/>
      <c r="F481" s="428"/>
      <c r="G481" s="428"/>
      <c r="H481" s="428"/>
      <c r="I481" s="428"/>
      <c r="J481" s="428"/>
      <c r="K481" s="428"/>
      <c r="L481" s="428"/>
      <c r="M481" s="428"/>
    </row>
    <row r="482" spans="1:13" ht="12.75">
      <c r="A482" s="427"/>
      <c r="B482" s="428"/>
      <c r="C482" s="428"/>
      <c r="D482" s="428"/>
      <c r="E482" s="428"/>
      <c r="F482" s="428"/>
      <c r="G482" s="428"/>
      <c r="H482" s="428"/>
      <c r="I482" s="428"/>
      <c r="J482" s="428"/>
      <c r="K482" s="428"/>
      <c r="L482" s="428"/>
      <c r="M482" s="428"/>
    </row>
    <row r="483" spans="1:13" ht="12.75">
      <c r="A483" s="427"/>
      <c r="B483" s="428"/>
      <c r="C483" s="428"/>
      <c r="D483" s="428"/>
      <c r="E483" s="428"/>
      <c r="F483" s="428"/>
      <c r="G483" s="428"/>
      <c r="H483" s="428"/>
      <c r="I483" s="428"/>
      <c r="J483" s="428"/>
      <c r="K483" s="428"/>
      <c r="L483" s="428"/>
      <c r="M483" s="428"/>
    </row>
    <row r="484" spans="1:13" ht="12.75">
      <c r="A484" s="427"/>
      <c r="B484" s="428"/>
      <c r="C484" s="428"/>
      <c r="D484" s="428"/>
      <c r="E484" s="428"/>
      <c r="F484" s="428"/>
      <c r="G484" s="428"/>
      <c r="H484" s="428"/>
      <c r="I484" s="428"/>
      <c r="J484" s="428"/>
      <c r="K484" s="428"/>
      <c r="L484" s="428"/>
      <c r="M484" s="428"/>
    </row>
    <row r="485" spans="1:13" ht="12.75">
      <c r="A485" s="427"/>
      <c r="B485" s="428"/>
      <c r="C485" s="428"/>
      <c r="D485" s="428"/>
      <c r="E485" s="428"/>
      <c r="F485" s="428"/>
      <c r="G485" s="428"/>
      <c r="H485" s="428"/>
      <c r="I485" s="428"/>
      <c r="J485" s="428"/>
      <c r="K485" s="428"/>
      <c r="L485" s="428"/>
      <c r="M485" s="428"/>
    </row>
    <row r="486" spans="1:13" ht="12.75">
      <c r="A486" s="427"/>
      <c r="B486" s="428"/>
      <c r="C486" s="428"/>
      <c r="D486" s="428"/>
      <c r="E486" s="428"/>
      <c r="F486" s="428"/>
      <c r="G486" s="428"/>
      <c r="H486" s="428"/>
      <c r="I486" s="428"/>
      <c r="J486" s="428"/>
      <c r="K486" s="428"/>
      <c r="L486" s="428"/>
      <c r="M486" s="428"/>
    </row>
    <row r="487" spans="1:13" ht="12.75">
      <c r="A487" s="427"/>
      <c r="B487" s="428"/>
      <c r="C487" s="428"/>
      <c r="D487" s="428"/>
      <c r="E487" s="428"/>
      <c r="F487" s="428"/>
      <c r="G487" s="428"/>
      <c r="H487" s="428"/>
      <c r="I487" s="428"/>
      <c r="J487" s="428"/>
      <c r="K487" s="428"/>
      <c r="L487" s="428"/>
      <c r="M487" s="428"/>
    </row>
    <row r="488" spans="1:13" ht="12.75">
      <c r="A488" s="427"/>
      <c r="B488" s="428"/>
      <c r="C488" s="428"/>
      <c r="D488" s="428"/>
      <c r="E488" s="428"/>
      <c r="F488" s="428"/>
      <c r="G488" s="428"/>
      <c r="H488" s="428"/>
      <c r="I488" s="428"/>
      <c r="J488" s="428"/>
      <c r="K488" s="428"/>
      <c r="L488" s="428"/>
      <c r="M488" s="428"/>
    </row>
    <row r="489" spans="1:13" ht="12.75">
      <c r="A489" s="427"/>
      <c r="B489" s="428"/>
      <c r="C489" s="428"/>
      <c r="D489" s="428"/>
      <c r="E489" s="428"/>
      <c r="F489" s="428"/>
      <c r="G489" s="428"/>
      <c r="H489" s="428"/>
      <c r="I489" s="428"/>
      <c r="J489" s="428"/>
      <c r="K489" s="428"/>
      <c r="L489" s="428"/>
      <c r="M489" s="428"/>
    </row>
    <row r="490" spans="1:13" ht="12.75">
      <c r="A490" s="427"/>
      <c r="B490" s="428"/>
      <c r="C490" s="428"/>
      <c r="D490" s="428"/>
      <c r="E490" s="428"/>
      <c r="F490" s="428"/>
      <c r="G490" s="428"/>
      <c r="H490" s="428"/>
      <c r="I490" s="428"/>
      <c r="J490" s="428"/>
      <c r="K490" s="428"/>
      <c r="L490" s="428"/>
      <c r="M490" s="428"/>
    </row>
    <row r="491" spans="1:13" ht="12.75">
      <c r="A491" s="427"/>
      <c r="B491" s="428"/>
      <c r="C491" s="428"/>
      <c r="D491" s="428"/>
      <c r="E491" s="428"/>
      <c r="F491" s="428"/>
      <c r="G491" s="428"/>
      <c r="H491" s="428"/>
      <c r="I491" s="428"/>
      <c r="J491" s="428"/>
      <c r="K491" s="428"/>
      <c r="L491" s="428"/>
      <c r="M491" s="428"/>
    </row>
    <row r="492" spans="1:13" ht="12.75">
      <c r="A492" s="427"/>
      <c r="B492" s="428"/>
      <c r="C492" s="428"/>
      <c r="D492" s="428"/>
      <c r="E492" s="428"/>
      <c r="F492" s="428"/>
      <c r="G492" s="428"/>
      <c r="H492" s="428"/>
      <c r="I492" s="428"/>
      <c r="J492" s="428"/>
      <c r="K492" s="428"/>
      <c r="L492" s="428"/>
      <c r="M492" s="428"/>
    </row>
    <row r="493" spans="1:13" ht="12.75">
      <c r="A493" s="427"/>
      <c r="B493" s="428"/>
      <c r="C493" s="428"/>
      <c r="D493" s="428"/>
      <c r="E493" s="428"/>
      <c r="F493" s="428"/>
      <c r="G493" s="428"/>
      <c r="H493" s="428"/>
      <c r="I493" s="428"/>
      <c r="J493" s="428"/>
      <c r="K493" s="428"/>
      <c r="L493" s="428"/>
      <c r="M493" s="428"/>
    </row>
    <row r="494" spans="1:13" ht="12.75">
      <c r="A494" s="427"/>
      <c r="B494" s="428"/>
      <c r="C494" s="428"/>
      <c r="D494" s="428"/>
      <c r="E494" s="428"/>
      <c r="F494" s="428"/>
      <c r="G494" s="428"/>
      <c r="H494" s="428"/>
      <c r="I494" s="428"/>
      <c r="J494" s="428"/>
      <c r="K494" s="428"/>
      <c r="L494" s="428"/>
      <c r="M494" s="428"/>
    </row>
    <row r="495" spans="1:13" ht="12.75">
      <c r="A495" s="427"/>
      <c r="B495" s="428"/>
      <c r="C495" s="428"/>
      <c r="D495" s="428"/>
      <c r="E495" s="428"/>
      <c r="F495" s="428"/>
      <c r="G495" s="428"/>
      <c r="H495" s="428"/>
      <c r="I495" s="428"/>
      <c r="J495" s="428"/>
      <c r="K495" s="428"/>
      <c r="L495" s="428"/>
      <c r="M495" s="428"/>
    </row>
    <row r="496" spans="1:13" ht="12.75">
      <c r="A496" s="427"/>
      <c r="B496" s="428"/>
      <c r="C496" s="428"/>
      <c r="D496" s="428"/>
      <c r="E496" s="428"/>
      <c r="F496" s="428"/>
      <c r="G496" s="428"/>
      <c r="H496" s="428"/>
      <c r="I496" s="428"/>
      <c r="J496" s="428"/>
      <c r="K496" s="428"/>
      <c r="L496" s="428"/>
      <c r="M496" s="428"/>
    </row>
    <row r="497" spans="1:13" ht="12.75">
      <c r="A497" s="427"/>
      <c r="B497" s="428"/>
      <c r="C497" s="428"/>
      <c r="D497" s="428"/>
      <c r="E497" s="428"/>
      <c r="F497" s="428"/>
      <c r="G497" s="428"/>
      <c r="H497" s="428"/>
      <c r="I497" s="428"/>
      <c r="J497" s="428"/>
      <c r="K497" s="428"/>
      <c r="L497" s="428"/>
      <c r="M497" s="428"/>
    </row>
    <row r="498" spans="1:13" ht="12.75">
      <c r="A498" s="427"/>
      <c r="B498" s="428"/>
      <c r="C498" s="428"/>
      <c r="D498" s="428"/>
      <c r="E498" s="428"/>
      <c r="F498" s="428"/>
      <c r="G498" s="428"/>
      <c r="H498" s="428"/>
      <c r="I498" s="428"/>
      <c r="J498" s="428"/>
      <c r="K498" s="428"/>
      <c r="L498" s="428"/>
      <c r="M498" s="428"/>
    </row>
    <row r="499" spans="1:13" ht="12.75">
      <c r="A499" s="427"/>
      <c r="B499" s="428"/>
      <c r="C499" s="428"/>
      <c r="D499" s="428"/>
      <c r="E499" s="428"/>
      <c r="F499" s="428"/>
      <c r="G499" s="428"/>
      <c r="H499" s="428"/>
      <c r="I499" s="428"/>
      <c r="J499" s="428"/>
      <c r="K499" s="428"/>
      <c r="L499" s="428"/>
      <c r="M499" s="428"/>
    </row>
    <row r="500" spans="1:13" ht="12.75">
      <c r="A500" s="427"/>
      <c r="B500" s="428"/>
      <c r="C500" s="428"/>
      <c r="D500" s="428"/>
      <c r="E500" s="428"/>
      <c r="F500" s="428"/>
      <c r="G500" s="428"/>
      <c r="H500" s="428"/>
      <c r="I500" s="428"/>
      <c r="J500" s="428"/>
      <c r="K500" s="428"/>
      <c r="L500" s="428"/>
      <c r="M500" s="428"/>
    </row>
    <row r="501" spans="1:13" ht="12.75">
      <c r="A501" s="427"/>
      <c r="B501" s="428"/>
      <c r="C501" s="428"/>
      <c r="D501" s="428"/>
      <c r="E501" s="428"/>
      <c r="F501" s="428"/>
      <c r="G501" s="428"/>
      <c r="H501" s="428"/>
      <c r="I501" s="428"/>
      <c r="J501" s="428"/>
      <c r="K501" s="428"/>
      <c r="L501" s="428"/>
      <c r="M501" s="428"/>
    </row>
    <row r="502" spans="1:13" ht="12.75">
      <c r="A502" s="427"/>
      <c r="B502" s="428"/>
      <c r="C502" s="428"/>
      <c r="D502" s="428"/>
      <c r="E502" s="428"/>
      <c r="F502" s="428"/>
      <c r="G502" s="428"/>
      <c r="H502" s="428"/>
      <c r="I502" s="428"/>
      <c r="J502" s="428"/>
      <c r="K502" s="428"/>
      <c r="L502" s="428"/>
      <c r="M502" s="428"/>
    </row>
    <row r="503" spans="1:13" ht="12.75">
      <c r="A503" s="427"/>
      <c r="B503" s="428"/>
      <c r="C503" s="428"/>
      <c r="D503" s="428"/>
      <c r="E503" s="428"/>
      <c r="F503" s="428"/>
      <c r="G503" s="428"/>
      <c r="H503" s="428"/>
      <c r="I503" s="428"/>
      <c r="J503" s="428"/>
      <c r="K503" s="428"/>
      <c r="L503" s="428"/>
      <c r="M503" s="428"/>
    </row>
    <row r="504" spans="1:13" ht="12.75">
      <c r="A504" s="427"/>
      <c r="B504" s="428"/>
      <c r="C504" s="428"/>
      <c r="D504" s="428"/>
      <c r="E504" s="428"/>
      <c r="F504" s="428"/>
      <c r="G504" s="428"/>
      <c r="H504" s="428"/>
      <c r="I504" s="428"/>
      <c r="J504" s="428"/>
      <c r="K504" s="428"/>
      <c r="L504" s="428"/>
      <c r="M504" s="428"/>
    </row>
    <row r="505" spans="1:13" ht="12.75">
      <c r="A505" s="427"/>
      <c r="B505" s="428"/>
      <c r="C505" s="428"/>
      <c r="D505" s="428"/>
      <c r="E505" s="428"/>
      <c r="F505" s="428"/>
      <c r="G505" s="428"/>
      <c r="H505" s="428"/>
      <c r="I505" s="428"/>
      <c r="J505" s="428"/>
      <c r="K505" s="428"/>
      <c r="L505" s="428"/>
      <c r="M505" s="428"/>
    </row>
    <row r="506" spans="1:13" ht="12.75">
      <c r="A506" s="427"/>
      <c r="B506" s="428"/>
      <c r="C506" s="428"/>
      <c r="D506" s="428"/>
      <c r="E506" s="428"/>
      <c r="F506" s="428"/>
      <c r="G506" s="428"/>
      <c r="H506" s="428"/>
      <c r="I506" s="428"/>
      <c r="J506" s="428"/>
      <c r="K506" s="428"/>
      <c r="L506" s="428"/>
      <c r="M506" s="428"/>
    </row>
    <row r="507" spans="1:13" ht="12.75">
      <c r="A507" s="427"/>
      <c r="B507" s="428"/>
      <c r="C507" s="428"/>
      <c r="D507" s="428"/>
      <c r="E507" s="428"/>
      <c r="F507" s="428"/>
      <c r="G507" s="428"/>
      <c r="H507" s="428"/>
      <c r="I507" s="428"/>
      <c r="J507" s="428"/>
      <c r="K507" s="428"/>
      <c r="L507" s="428"/>
      <c r="M507" s="428"/>
    </row>
    <row r="508" spans="1:13" ht="12.75">
      <c r="A508" s="427"/>
      <c r="B508" s="428"/>
      <c r="C508" s="428"/>
      <c r="D508" s="428"/>
      <c r="E508" s="428"/>
      <c r="F508" s="428"/>
      <c r="G508" s="428"/>
      <c r="H508" s="428"/>
      <c r="I508" s="428"/>
      <c r="J508" s="428"/>
      <c r="K508" s="428"/>
      <c r="L508" s="428"/>
      <c r="M508" s="428"/>
    </row>
    <row r="509" spans="1:13" ht="12.75">
      <c r="A509" s="427"/>
      <c r="B509" s="428"/>
      <c r="C509" s="428"/>
      <c r="D509" s="428"/>
      <c r="E509" s="428"/>
      <c r="F509" s="428"/>
      <c r="G509" s="428"/>
      <c r="H509" s="428"/>
      <c r="I509" s="428"/>
      <c r="J509" s="428"/>
      <c r="K509" s="428"/>
      <c r="L509" s="428"/>
      <c r="M509" s="428"/>
    </row>
    <row r="510" spans="1:13" ht="12.75">
      <c r="A510" s="427"/>
      <c r="B510" s="428"/>
      <c r="C510" s="428"/>
      <c r="D510" s="428"/>
      <c r="E510" s="428"/>
      <c r="F510" s="428"/>
      <c r="G510" s="428"/>
      <c r="H510" s="428"/>
      <c r="I510" s="428"/>
      <c r="J510" s="428"/>
      <c r="K510" s="428"/>
      <c r="L510" s="428"/>
      <c r="M510" s="428"/>
    </row>
    <row r="511" spans="1:13" ht="12.75">
      <c r="A511" s="427"/>
      <c r="B511" s="428"/>
      <c r="C511" s="428"/>
      <c r="D511" s="428"/>
      <c r="E511" s="428"/>
      <c r="F511" s="428"/>
      <c r="G511" s="428"/>
      <c r="H511" s="428"/>
      <c r="I511" s="428"/>
      <c r="J511" s="428"/>
      <c r="K511" s="428"/>
      <c r="L511" s="428"/>
      <c r="M511" s="428"/>
    </row>
    <row r="512" spans="1:13" ht="12.75">
      <c r="A512" s="427"/>
      <c r="B512" s="428"/>
      <c r="C512" s="428"/>
      <c r="D512" s="428"/>
      <c r="E512" s="428"/>
      <c r="F512" s="428"/>
      <c r="G512" s="428"/>
      <c r="H512" s="428"/>
      <c r="I512" s="428"/>
      <c r="J512" s="428"/>
      <c r="K512" s="428"/>
      <c r="L512" s="428"/>
      <c r="M512" s="428"/>
    </row>
    <row r="513" spans="1:13" ht="12.75">
      <c r="A513" s="427"/>
      <c r="B513" s="428"/>
      <c r="C513" s="428"/>
      <c r="D513" s="428"/>
      <c r="E513" s="428"/>
      <c r="F513" s="428"/>
      <c r="G513" s="428"/>
      <c r="H513" s="428"/>
      <c r="I513" s="428"/>
      <c r="J513" s="428"/>
      <c r="K513" s="428"/>
      <c r="L513" s="428"/>
      <c r="M513" s="428"/>
    </row>
    <row r="514" spans="1:13" ht="12.75">
      <c r="A514" s="427"/>
      <c r="B514" s="428"/>
      <c r="C514" s="428"/>
      <c r="D514" s="428"/>
      <c r="E514" s="428"/>
      <c r="F514" s="428"/>
      <c r="G514" s="428"/>
      <c r="H514" s="428"/>
      <c r="I514" s="428"/>
      <c r="J514" s="428"/>
      <c r="K514" s="428"/>
      <c r="L514" s="428"/>
      <c r="M514" s="428"/>
    </row>
    <row r="515" spans="1:13" ht="12.75">
      <c r="A515" s="427"/>
      <c r="B515" s="428"/>
      <c r="C515" s="428"/>
      <c r="D515" s="428"/>
      <c r="E515" s="428"/>
      <c r="F515" s="428"/>
      <c r="G515" s="428"/>
      <c r="H515" s="428"/>
      <c r="I515" s="428"/>
      <c r="J515" s="428"/>
      <c r="K515" s="428"/>
      <c r="L515" s="428"/>
      <c r="M515" s="428"/>
    </row>
    <row r="516" spans="1:13" ht="12.75">
      <c r="A516" s="427"/>
      <c r="B516" s="428"/>
      <c r="C516" s="428"/>
      <c r="D516" s="428"/>
      <c r="E516" s="428"/>
      <c r="F516" s="428"/>
      <c r="G516" s="428"/>
      <c r="H516" s="428"/>
      <c r="I516" s="428"/>
      <c r="J516" s="428"/>
      <c r="K516" s="428"/>
      <c r="L516" s="428"/>
      <c r="M516" s="428"/>
    </row>
    <row r="517" spans="1:13" ht="12.75">
      <c r="A517" s="427"/>
      <c r="B517" s="428"/>
      <c r="C517" s="428"/>
      <c r="D517" s="428"/>
      <c r="E517" s="428"/>
      <c r="F517" s="428"/>
      <c r="G517" s="428"/>
      <c r="H517" s="428"/>
      <c r="I517" s="428"/>
      <c r="J517" s="428"/>
      <c r="K517" s="428"/>
      <c r="L517" s="428"/>
      <c r="M517" s="428"/>
    </row>
    <row r="518" spans="1:13" ht="12.75">
      <c r="A518" s="427"/>
      <c r="B518" s="428"/>
      <c r="C518" s="428"/>
      <c r="D518" s="428"/>
      <c r="E518" s="428"/>
      <c r="F518" s="428"/>
      <c r="G518" s="428"/>
      <c r="H518" s="428"/>
      <c r="I518" s="428"/>
      <c r="J518" s="428"/>
      <c r="K518" s="428"/>
      <c r="L518" s="428"/>
      <c r="M518" s="428"/>
    </row>
    <row r="519" spans="1:13" ht="12.75">
      <c r="A519" s="427"/>
      <c r="B519" s="428"/>
      <c r="C519" s="428"/>
      <c r="D519" s="428"/>
      <c r="E519" s="428"/>
      <c r="F519" s="428"/>
      <c r="G519" s="428"/>
      <c r="H519" s="428"/>
      <c r="I519" s="428"/>
      <c r="J519" s="428"/>
      <c r="K519" s="428"/>
      <c r="L519" s="428"/>
      <c r="M519" s="428"/>
    </row>
    <row r="520" spans="1:13" ht="12.75">
      <c r="A520" s="427"/>
      <c r="B520" s="428"/>
      <c r="C520" s="428"/>
      <c r="D520" s="428"/>
      <c r="E520" s="428"/>
      <c r="F520" s="428"/>
      <c r="G520" s="428"/>
      <c r="H520" s="428"/>
      <c r="I520" s="428"/>
      <c r="J520" s="428"/>
      <c r="K520" s="428"/>
      <c r="L520" s="428"/>
      <c r="M520" s="428"/>
    </row>
    <row r="521" spans="1:13" ht="12.75">
      <c r="A521" s="427"/>
      <c r="B521" s="428"/>
      <c r="C521" s="428"/>
      <c r="D521" s="428"/>
      <c r="E521" s="428"/>
      <c r="F521" s="428"/>
      <c r="G521" s="428"/>
      <c r="H521" s="428"/>
      <c r="I521" s="428"/>
      <c r="J521" s="428"/>
      <c r="K521" s="428"/>
      <c r="L521" s="428"/>
      <c r="M521" s="428"/>
    </row>
    <row r="522" spans="1:13" ht="12.75">
      <c r="A522" s="427"/>
      <c r="B522" s="428"/>
      <c r="C522" s="428"/>
      <c r="D522" s="428"/>
      <c r="E522" s="428"/>
      <c r="F522" s="428"/>
      <c r="G522" s="428"/>
      <c r="H522" s="428"/>
      <c r="I522" s="428"/>
      <c r="J522" s="428"/>
      <c r="K522" s="428"/>
      <c r="L522" s="428"/>
      <c r="M522" s="428"/>
    </row>
    <row r="523" spans="1:13" ht="12.75">
      <c r="A523" s="427"/>
      <c r="B523" s="428"/>
      <c r="C523" s="428"/>
      <c r="D523" s="428"/>
      <c r="E523" s="428"/>
      <c r="F523" s="428"/>
      <c r="G523" s="428"/>
      <c r="H523" s="428"/>
      <c r="I523" s="428"/>
      <c r="J523" s="428"/>
      <c r="K523" s="428"/>
      <c r="L523" s="428"/>
      <c r="M523" s="428"/>
    </row>
    <row r="524" spans="1:13" ht="12.75">
      <c r="A524" s="427"/>
      <c r="B524" s="428"/>
      <c r="C524" s="428"/>
      <c r="D524" s="428"/>
      <c r="E524" s="428"/>
      <c r="F524" s="428"/>
      <c r="G524" s="428"/>
      <c r="H524" s="428"/>
      <c r="I524" s="428"/>
      <c r="J524" s="428"/>
      <c r="K524" s="428"/>
      <c r="L524" s="428"/>
      <c r="M524" s="428"/>
    </row>
    <row r="525" spans="1:13" ht="12.75">
      <c r="A525" s="427"/>
      <c r="B525" s="428"/>
      <c r="C525" s="428"/>
      <c r="D525" s="428"/>
      <c r="E525" s="428"/>
      <c r="F525" s="428"/>
      <c r="G525" s="428"/>
      <c r="H525" s="428"/>
      <c r="I525" s="428"/>
      <c r="J525" s="428"/>
      <c r="K525" s="428"/>
      <c r="L525" s="428"/>
      <c r="M525" s="428"/>
    </row>
    <row r="526" spans="1:13" ht="12.75">
      <c r="A526" s="427"/>
      <c r="B526" s="428"/>
      <c r="C526" s="428"/>
      <c r="D526" s="428"/>
      <c r="E526" s="428"/>
      <c r="F526" s="428"/>
      <c r="G526" s="428"/>
      <c r="H526" s="428"/>
      <c r="I526" s="428"/>
      <c r="J526" s="428"/>
      <c r="K526" s="428"/>
      <c r="L526" s="428"/>
      <c r="M526" s="428"/>
    </row>
    <row r="527" spans="1:13" ht="12.75">
      <c r="A527" s="427"/>
      <c r="B527" s="428"/>
      <c r="C527" s="428"/>
      <c r="D527" s="428"/>
      <c r="E527" s="428"/>
      <c r="F527" s="428"/>
      <c r="G527" s="428"/>
      <c r="H527" s="428"/>
      <c r="I527" s="428"/>
      <c r="J527" s="428"/>
      <c r="K527" s="428"/>
      <c r="L527" s="428"/>
      <c r="M527" s="428"/>
    </row>
    <row r="528" spans="1:13" ht="12.75">
      <c r="A528" s="427"/>
      <c r="B528" s="428"/>
      <c r="C528" s="428"/>
      <c r="D528" s="428"/>
      <c r="E528" s="428"/>
      <c r="F528" s="428"/>
      <c r="G528" s="428"/>
      <c r="H528" s="428"/>
      <c r="I528" s="428"/>
      <c r="J528" s="428"/>
      <c r="K528" s="428"/>
      <c r="L528" s="428"/>
      <c r="M528" s="428"/>
    </row>
    <row r="529" spans="1:13" ht="12.75">
      <c r="A529" s="427"/>
      <c r="B529" s="428"/>
      <c r="C529" s="428"/>
      <c r="D529" s="428"/>
      <c r="E529" s="428"/>
      <c r="F529" s="428"/>
      <c r="G529" s="428"/>
      <c r="H529" s="428"/>
      <c r="I529" s="428"/>
      <c r="J529" s="428"/>
      <c r="K529" s="428"/>
      <c r="L529" s="428"/>
      <c r="M529" s="428"/>
    </row>
    <row r="530" spans="1:13" ht="12.75">
      <c r="A530" s="427"/>
      <c r="B530" s="428"/>
      <c r="C530" s="428"/>
      <c r="D530" s="428"/>
      <c r="E530" s="428"/>
      <c r="F530" s="428"/>
      <c r="G530" s="428"/>
      <c r="H530" s="428"/>
      <c r="I530" s="428"/>
      <c r="J530" s="428"/>
      <c r="K530" s="428"/>
      <c r="L530" s="428"/>
      <c r="M530" s="428"/>
    </row>
    <row r="531" spans="1:13" ht="12.75">
      <c r="A531" s="427"/>
      <c r="B531" s="428"/>
      <c r="C531" s="428"/>
      <c r="D531" s="428"/>
      <c r="E531" s="428"/>
      <c r="F531" s="428"/>
      <c r="G531" s="428"/>
      <c r="H531" s="428"/>
      <c r="I531" s="428"/>
      <c r="J531" s="428"/>
      <c r="K531" s="428"/>
      <c r="L531" s="428"/>
      <c r="M531" s="428"/>
    </row>
    <row r="532" spans="1:13" ht="12.75">
      <c r="A532" s="427"/>
      <c r="B532" s="428"/>
      <c r="C532" s="428"/>
      <c r="D532" s="428"/>
      <c r="E532" s="428"/>
      <c r="F532" s="428"/>
      <c r="G532" s="428"/>
      <c r="H532" s="428"/>
      <c r="I532" s="428"/>
      <c r="J532" s="428"/>
      <c r="K532" s="428"/>
      <c r="L532" s="428"/>
      <c r="M532" s="428"/>
    </row>
    <row r="533" spans="1:13" ht="12.75">
      <c r="A533" s="427"/>
      <c r="B533" s="428"/>
      <c r="C533" s="428"/>
      <c r="D533" s="428"/>
      <c r="E533" s="428"/>
      <c r="F533" s="428"/>
      <c r="G533" s="428"/>
      <c r="H533" s="428"/>
      <c r="I533" s="428"/>
      <c r="J533" s="428"/>
      <c r="K533" s="428"/>
      <c r="L533" s="428"/>
      <c r="M533" s="428"/>
    </row>
    <row r="534" spans="1:13" ht="12.75">
      <c r="A534" s="427"/>
      <c r="B534" s="428"/>
      <c r="C534" s="428"/>
      <c r="D534" s="428"/>
      <c r="E534" s="428"/>
      <c r="F534" s="428"/>
      <c r="G534" s="428"/>
      <c r="H534" s="428"/>
      <c r="I534" s="428"/>
      <c r="J534" s="428"/>
      <c r="K534" s="428"/>
      <c r="L534" s="428"/>
      <c r="M534" s="428"/>
    </row>
    <row r="535" spans="1:13" ht="12.75">
      <c r="A535" s="427"/>
      <c r="B535" s="428"/>
      <c r="C535" s="428"/>
      <c r="D535" s="428"/>
      <c r="E535" s="428"/>
      <c r="F535" s="428"/>
      <c r="G535" s="428"/>
      <c r="H535" s="428"/>
      <c r="I535" s="428"/>
      <c r="J535" s="428"/>
      <c r="K535" s="428"/>
      <c r="L535" s="428"/>
      <c r="M535" s="428"/>
    </row>
    <row r="536" spans="1:13" ht="12.75">
      <c r="A536" s="427"/>
      <c r="B536" s="428"/>
      <c r="C536" s="428"/>
      <c r="D536" s="428"/>
      <c r="E536" s="428"/>
      <c r="F536" s="428"/>
      <c r="G536" s="428"/>
      <c r="H536" s="428"/>
      <c r="I536" s="428"/>
      <c r="J536" s="428"/>
      <c r="K536" s="428"/>
      <c r="L536" s="428"/>
      <c r="M536" s="428"/>
    </row>
    <row r="537" spans="1:13" ht="12.75">
      <c r="A537" s="427"/>
      <c r="B537" s="428"/>
      <c r="C537" s="428"/>
      <c r="D537" s="428"/>
      <c r="E537" s="428"/>
      <c r="F537" s="428"/>
      <c r="G537" s="428"/>
      <c r="H537" s="428"/>
      <c r="I537" s="428"/>
      <c r="J537" s="428"/>
      <c r="K537" s="428"/>
      <c r="L537" s="428"/>
      <c r="M537" s="428"/>
    </row>
    <row r="538" spans="1:13" ht="12.75">
      <c r="A538" s="427"/>
      <c r="B538" s="428"/>
      <c r="C538" s="428"/>
      <c r="D538" s="428"/>
      <c r="E538" s="428"/>
      <c r="F538" s="428"/>
      <c r="G538" s="428"/>
      <c r="H538" s="428"/>
      <c r="I538" s="428"/>
      <c r="J538" s="428"/>
      <c r="K538" s="428"/>
      <c r="L538" s="428"/>
      <c r="M538" s="428"/>
    </row>
    <row r="539" spans="1:13" ht="12.75">
      <c r="A539" s="427"/>
      <c r="B539" s="428"/>
      <c r="C539" s="428"/>
      <c r="D539" s="428"/>
      <c r="E539" s="428"/>
      <c r="F539" s="428"/>
      <c r="G539" s="428"/>
      <c r="H539" s="428"/>
      <c r="I539" s="428"/>
      <c r="J539" s="428"/>
      <c r="K539" s="428"/>
      <c r="L539" s="428"/>
      <c r="M539" s="428"/>
    </row>
    <row r="540" spans="1:13" ht="12.75">
      <c r="A540" s="427"/>
      <c r="B540" s="428"/>
      <c r="C540" s="428"/>
      <c r="D540" s="428"/>
      <c r="E540" s="428"/>
      <c r="F540" s="428"/>
      <c r="G540" s="428"/>
      <c r="H540" s="428"/>
      <c r="I540" s="428"/>
      <c r="J540" s="428"/>
      <c r="K540" s="428"/>
      <c r="L540" s="428"/>
      <c r="M540" s="428"/>
    </row>
    <row r="541" spans="1:13" ht="12.75">
      <c r="A541" s="427"/>
      <c r="B541" s="428"/>
      <c r="C541" s="428"/>
      <c r="D541" s="428"/>
      <c r="E541" s="428"/>
      <c r="F541" s="428"/>
      <c r="G541" s="428"/>
      <c r="H541" s="428"/>
      <c r="I541" s="428"/>
      <c r="J541" s="428"/>
      <c r="K541" s="428"/>
      <c r="L541" s="428"/>
      <c r="M541" s="428"/>
    </row>
    <row r="542" spans="1:13" ht="12.75">
      <c r="A542" s="427"/>
      <c r="B542" s="428"/>
      <c r="C542" s="428"/>
      <c r="D542" s="428"/>
      <c r="E542" s="428"/>
      <c r="F542" s="428"/>
      <c r="G542" s="428"/>
      <c r="H542" s="428"/>
      <c r="I542" s="428"/>
      <c r="J542" s="428"/>
      <c r="K542" s="428"/>
      <c r="L542" s="428"/>
      <c r="M542" s="428"/>
    </row>
    <row r="543" spans="1:13" ht="12.75">
      <c r="A543" s="427"/>
      <c r="B543" s="428"/>
      <c r="C543" s="428"/>
      <c r="D543" s="428"/>
      <c r="E543" s="428"/>
      <c r="F543" s="428"/>
      <c r="G543" s="428"/>
      <c r="H543" s="428"/>
      <c r="I543" s="428"/>
      <c r="J543" s="428"/>
      <c r="K543" s="428"/>
      <c r="L543" s="428"/>
      <c r="M543" s="428"/>
    </row>
    <row r="544" spans="1:13" ht="12.75">
      <c r="A544" s="427"/>
      <c r="B544" s="428"/>
      <c r="C544" s="428"/>
      <c r="D544" s="428"/>
      <c r="E544" s="428"/>
      <c r="F544" s="428"/>
      <c r="G544" s="428"/>
      <c r="H544" s="428"/>
      <c r="I544" s="428"/>
      <c r="J544" s="428"/>
      <c r="K544" s="428"/>
      <c r="L544" s="428"/>
      <c r="M544" s="428"/>
    </row>
    <row r="545" spans="1:13" ht="12.75">
      <c r="A545" s="427"/>
      <c r="B545" s="428"/>
      <c r="C545" s="428"/>
      <c r="D545" s="428"/>
      <c r="E545" s="428"/>
      <c r="F545" s="428"/>
      <c r="G545" s="428"/>
      <c r="H545" s="428"/>
      <c r="I545" s="428"/>
      <c r="J545" s="428"/>
      <c r="K545" s="428"/>
      <c r="L545" s="428"/>
      <c r="M545" s="428"/>
    </row>
    <row r="546" spans="1:13" ht="12.75">
      <c r="A546" s="427"/>
      <c r="B546" s="428"/>
      <c r="C546" s="428"/>
      <c r="D546" s="428"/>
      <c r="E546" s="428"/>
      <c r="F546" s="428"/>
      <c r="G546" s="428"/>
      <c r="H546" s="428"/>
      <c r="I546" s="428"/>
      <c r="J546" s="428"/>
      <c r="K546" s="428"/>
      <c r="L546" s="428"/>
      <c r="M546" s="428"/>
    </row>
    <row r="547" spans="1:13" ht="12.75">
      <c r="A547" s="427"/>
      <c r="B547" s="428"/>
      <c r="C547" s="428"/>
      <c r="D547" s="428"/>
      <c r="E547" s="428"/>
      <c r="F547" s="428"/>
      <c r="G547" s="428"/>
      <c r="H547" s="428"/>
      <c r="I547" s="428"/>
      <c r="J547" s="428"/>
      <c r="K547" s="428"/>
      <c r="L547" s="428"/>
      <c r="M547" s="428"/>
    </row>
    <row r="548" spans="1:13" ht="12.75">
      <c r="A548" s="427"/>
      <c r="B548" s="428"/>
      <c r="C548" s="428"/>
      <c r="D548" s="428"/>
      <c r="E548" s="428"/>
      <c r="F548" s="428"/>
      <c r="G548" s="428"/>
      <c r="H548" s="428"/>
      <c r="I548" s="428"/>
      <c r="J548" s="428"/>
      <c r="K548" s="428"/>
      <c r="L548" s="428"/>
      <c r="M548" s="428"/>
    </row>
    <row r="549" spans="1:13" ht="12.75">
      <c r="A549" s="427"/>
      <c r="B549" s="428"/>
      <c r="C549" s="428"/>
      <c r="D549" s="428"/>
      <c r="E549" s="428"/>
      <c r="F549" s="428"/>
      <c r="G549" s="428"/>
      <c r="H549" s="428"/>
      <c r="I549" s="428"/>
      <c r="J549" s="428"/>
      <c r="K549" s="428"/>
      <c r="L549" s="428"/>
      <c r="M549" s="428"/>
    </row>
    <row r="550" spans="1:13" ht="12.75">
      <c r="A550" s="427"/>
      <c r="B550" s="428"/>
      <c r="C550" s="428"/>
      <c r="D550" s="428"/>
      <c r="E550" s="428"/>
      <c r="F550" s="428"/>
      <c r="G550" s="428"/>
      <c r="H550" s="428"/>
      <c r="I550" s="428"/>
      <c r="J550" s="428"/>
      <c r="K550" s="428"/>
      <c r="L550" s="428"/>
      <c r="M550" s="428"/>
    </row>
    <row r="551" spans="1:13" ht="12.75">
      <c r="A551" s="427"/>
      <c r="B551" s="428"/>
      <c r="C551" s="428"/>
      <c r="D551" s="428"/>
      <c r="E551" s="428"/>
      <c r="F551" s="428"/>
      <c r="G551" s="428"/>
      <c r="H551" s="428"/>
      <c r="I551" s="428"/>
      <c r="J551" s="428"/>
      <c r="K551" s="428"/>
      <c r="L551" s="428"/>
      <c r="M551" s="428"/>
    </row>
    <row r="552" spans="1:13" ht="12.75">
      <c r="A552" s="427"/>
      <c r="B552" s="428"/>
      <c r="C552" s="428"/>
      <c r="D552" s="428"/>
      <c r="E552" s="428"/>
      <c r="F552" s="428"/>
      <c r="G552" s="428"/>
      <c r="H552" s="428"/>
      <c r="I552" s="428"/>
      <c r="J552" s="428"/>
      <c r="K552" s="428"/>
      <c r="L552" s="428"/>
      <c r="M552" s="428"/>
    </row>
    <row r="553" spans="1:13" ht="12.75">
      <c r="A553" s="427"/>
      <c r="B553" s="428"/>
      <c r="C553" s="428"/>
      <c r="D553" s="428"/>
      <c r="E553" s="428"/>
      <c r="F553" s="428"/>
      <c r="G553" s="428"/>
      <c r="H553" s="428"/>
      <c r="I553" s="428"/>
      <c r="J553" s="428"/>
      <c r="K553" s="428"/>
      <c r="L553" s="428"/>
      <c r="M553" s="428"/>
    </row>
    <row r="554" spans="1:13" ht="12.75">
      <c r="A554" s="427"/>
      <c r="B554" s="428"/>
      <c r="C554" s="428"/>
      <c r="D554" s="428"/>
      <c r="E554" s="428"/>
      <c r="F554" s="428"/>
      <c r="G554" s="428"/>
      <c r="H554" s="428"/>
      <c r="I554" s="428"/>
      <c r="J554" s="428"/>
      <c r="K554" s="428"/>
      <c r="L554" s="428"/>
      <c r="M554" s="428"/>
    </row>
    <row r="555" spans="1:13" ht="12.75">
      <c r="A555" s="427"/>
      <c r="B555" s="428"/>
      <c r="C555" s="428"/>
      <c r="D555" s="428"/>
      <c r="E555" s="428"/>
      <c r="F555" s="428"/>
      <c r="G555" s="428"/>
      <c r="H555" s="428"/>
      <c r="I555" s="428"/>
      <c r="J555" s="428"/>
      <c r="K555" s="428"/>
      <c r="L555" s="428"/>
      <c r="M555" s="428"/>
    </row>
    <row r="556" spans="1:13" ht="12.75">
      <c r="A556" s="427"/>
      <c r="B556" s="428"/>
      <c r="C556" s="428"/>
      <c r="D556" s="428"/>
      <c r="E556" s="428"/>
      <c r="F556" s="428"/>
      <c r="G556" s="428"/>
      <c r="H556" s="428"/>
      <c r="I556" s="428"/>
      <c r="J556" s="428"/>
      <c r="K556" s="428"/>
      <c r="L556" s="428"/>
      <c r="M556" s="428"/>
    </row>
    <row r="557" spans="1:13" ht="12.75">
      <c r="A557" s="427"/>
      <c r="B557" s="428"/>
      <c r="C557" s="428"/>
      <c r="D557" s="428"/>
      <c r="E557" s="428"/>
      <c r="F557" s="428"/>
      <c r="G557" s="428"/>
      <c r="H557" s="428"/>
      <c r="I557" s="428"/>
      <c r="J557" s="428"/>
      <c r="K557" s="428"/>
      <c r="L557" s="428"/>
      <c r="M557" s="428"/>
    </row>
    <row r="558" spans="1:13" ht="12.75">
      <c r="A558" s="427"/>
      <c r="B558" s="428"/>
      <c r="C558" s="428"/>
      <c r="D558" s="428"/>
      <c r="E558" s="428"/>
      <c r="F558" s="428"/>
      <c r="G558" s="428"/>
      <c r="H558" s="428"/>
      <c r="I558" s="428"/>
      <c r="J558" s="428"/>
      <c r="K558" s="428"/>
      <c r="L558" s="428"/>
      <c r="M558" s="428"/>
    </row>
    <row r="559" spans="1:13" ht="12.75">
      <c r="A559" s="427"/>
      <c r="B559" s="428"/>
      <c r="C559" s="428"/>
      <c r="D559" s="428"/>
      <c r="E559" s="428"/>
      <c r="F559" s="428"/>
      <c r="G559" s="428"/>
      <c r="H559" s="428"/>
      <c r="I559" s="428"/>
      <c r="J559" s="428"/>
      <c r="K559" s="428"/>
      <c r="L559" s="428"/>
      <c r="M559" s="428"/>
    </row>
    <row r="560" spans="1:13" ht="12.75">
      <c r="A560" s="427"/>
      <c r="B560" s="428"/>
      <c r="C560" s="428"/>
      <c r="D560" s="428"/>
      <c r="E560" s="428"/>
      <c r="F560" s="428"/>
      <c r="G560" s="428"/>
      <c r="H560" s="428"/>
      <c r="I560" s="428"/>
      <c r="J560" s="428"/>
      <c r="K560" s="428"/>
      <c r="L560" s="428"/>
      <c r="M560" s="428"/>
    </row>
    <row r="561" spans="1:13" ht="12.75">
      <c r="A561" s="427"/>
      <c r="B561" s="428"/>
      <c r="C561" s="428"/>
      <c r="D561" s="428"/>
      <c r="E561" s="428"/>
      <c r="F561" s="428"/>
      <c r="G561" s="428"/>
      <c r="H561" s="428"/>
      <c r="I561" s="428"/>
      <c r="J561" s="428"/>
      <c r="K561" s="428"/>
      <c r="L561" s="428"/>
      <c r="M561" s="428"/>
    </row>
    <row r="562" spans="1:13" ht="12.75">
      <c r="A562" s="427"/>
      <c r="B562" s="428"/>
      <c r="C562" s="428"/>
      <c r="D562" s="428"/>
      <c r="E562" s="428"/>
      <c r="F562" s="428"/>
      <c r="G562" s="428"/>
      <c r="H562" s="428"/>
      <c r="I562" s="428"/>
      <c r="J562" s="428"/>
      <c r="K562" s="428"/>
      <c r="L562" s="428"/>
      <c r="M562" s="428"/>
    </row>
    <row r="563" spans="1:13" ht="12.75">
      <c r="A563" s="427"/>
      <c r="B563" s="428"/>
      <c r="C563" s="428"/>
      <c r="D563" s="428"/>
      <c r="E563" s="428"/>
      <c r="F563" s="428"/>
      <c r="G563" s="428"/>
      <c r="H563" s="428"/>
      <c r="I563" s="428"/>
      <c r="J563" s="428"/>
      <c r="K563" s="428"/>
      <c r="L563" s="428"/>
      <c r="M563" s="428"/>
    </row>
    <row r="564" spans="1:13" ht="12.75">
      <c r="A564" s="427"/>
      <c r="B564" s="428"/>
      <c r="C564" s="428"/>
      <c r="D564" s="428"/>
      <c r="E564" s="428"/>
      <c r="F564" s="428"/>
      <c r="G564" s="428"/>
      <c r="H564" s="428"/>
      <c r="I564" s="428"/>
      <c r="J564" s="428"/>
      <c r="K564" s="428"/>
      <c r="L564" s="428"/>
      <c r="M564" s="428"/>
    </row>
    <row r="565" spans="1:13" ht="12.75">
      <c r="A565" s="427"/>
      <c r="B565" s="428"/>
      <c r="C565" s="428"/>
      <c r="D565" s="428"/>
      <c r="E565" s="428"/>
      <c r="F565" s="428"/>
      <c r="G565" s="428"/>
      <c r="H565" s="428"/>
      <c r="I565" s="428"/>
      <c r="J565" s="428"/>
      <c r="K565" s="428"/>
      <c r="L565" s="428"/>
      <c r="M565" s="428"/>
    </row>
    <row r="566" spans="1:13" ht="12.75">
      <c r="A566" s="427"/>
      <c r="B566" s="428"/>
      <c r="C566" s="428"/>
      <c r="D566" s="428"/>
      <c r="E566" s="428"/>
      <c r="F566" s="428"/>
      <c r="G566" s="428"/>
      <c r="H566" s="428"/>
      <c r="I566" s="428"/>
      <c r="J566" s="428"/>
      <c r="K566" s="428"/>
      <c r="L566" s="428"/>
      <c r="M566" s="428"/>
    </row>
    <row r="567" spans="1:13" ht="12.75">
      <c r="A567" s="427"/>
      <c r="B567" s="428"/>
      <c r="C567" s="428"/>
      <c r="D567" s="428"/>
      <c r="E567" s="428"/>
      <c r="F567" s="428"/>
      <c r="G567" s="428"/>
      <c r="H567" s="428"/>
      <c r="I567" s="428"/>
      <c r="J567" s="428"/>
      <c r="K567" s="428"/>
      <c r="L567" s="428"/>
      <c r="M567" s="428"/>
    </row>
    <row r="568" spans="1:13" ht="12.75">
      <c r="A568" s="427"/>
      <c r="B568" s="428"/>
      <c r="C568" s="428"/>
      <c r="D568" s="428"/>
      <c r="E568" s="428"/>
      <c r="F568" s="428"/>
      <c r="G568" s="428"/>
      <c r="H568" s="428"/>
      <c r="I568" s="428"/>
      <c r="J568" s="428"/>
      <c r="K568" s="428"/>
      <c r="L568" s="428"/>
      <c r="M568" s="428"/>
    </row>
    <row r="569" spans="1:13" ht="12.75">
      <c r="A569" s="427"/>
      <c r="B569" s="428"/>
      <c r="C569" s="428"/>
      <c r="D569" s="428"/>
      <c r="E569" s="428"/>
      <c r="F569" s="428"/>
      <c r="G569" s="428"/>
      <c r="H569" s="428"/>
      <c r="I569" s="428"/>
      <c r="J569" s="428"/>
      <c r="K569" s="428"/>
      <c r="L569" s="428"/>
      <c r="M569" s="428"/>
    </row>
    <row r="570" spans="1:13" ht="12.75">
      <c r="A570" s="427"/>
      <c r="B570" s="428"/>
      <c r="C570" s="428"/>
      <c r="D570" s="428"/>
      <c r="E570" s="428"/>
      <c r="F570" s="428"/>
      <c r="G570" s="428"/>
      <c r="H570" s="428"/>
      <c r="I570" s="428"/>
      <c r="J570" s="428"/>
      <c r="K570" s="428"/>
      <c r="L570" s="428"/>
      <c r="M570" s="428"/>
    </row>
    <row r="571" spans="1:13" ht="12.75">
      <c r="A571" s="427"/>
      <c r="B571" s="428"/>
      <c r="C571" s="428"/>
      <c r="D571" s="428"/>
      <c r="E571" s="428"/>
      <c r="F571" s="428"/>
      <c r="G571" s="428"/>
      <c r="H571" s="428"/>
      <c r="I571" s="428"/>
      <c r="J571" s="428"/>
      <c r="K571" s="428"/>
      <c r="L571" s="428"/>
      <c r="M571" s="428"/>
    </row>
    <row r="572" spans="1:13" ht="12.75">
      <c r="A572" s="427"/>
      <c r="B572" s="428"/>
      <c r="C572" s="428"/>
      <c r="D572" s="428"/>
      <c r="E572" s="428"/>
      <c r="F572" s="428"/>
      <c r="G572" s="428"/>
      <c r="H572" s="428"/>
      <c r="I572" s="428"/>
      <c r="J572" s="428"/>
      <c r="K572" s="428"/>
      <c r="L572" s="428"/>
      <c r="M572" s="428"/>
    </row>
    <row r="573" spans="1:13" ht="12.75">
      <c r="A573" s="427"/>
      <c r="B573" s="428"/>
      <c r="C573" s="428"/>
      <c r="D573" s="428"/>
      <c r="E573" s="428"/>
      <c r="F573" s="428"/>
      <c r="G573" s="428"/>
      <c r="H573" s="428"/>
      <c r="I573" s="428"/>
      <c r="J573" s="428"/>
      <c r="K573" s="428"/>
      <c r="L573" s="428"/>
      <c r="M573" s="428"/>
    </row>
    <row r="574" spans="1:13" ht="12.75">
      <c r="A574" s="427"/>
      <c r="B574" s="428"/>
      <c r="C574" s="428"/>
      <c r="D574" s="428"/>
      <c r="E574" s="428"/>
      <c r="F574" s="428"/>
      <c r="G574" s="428"/>
      <c r="H574" s="428"/>
      <c r="I574" s="428"/>
      <c r="J574" s="428"/>
      <c r="K574" s="428"/>
      <c r="L574" s="428"/>
      <c r="M574" s="428"/>
    </row>
    <row r="575" spans="1:13" ht="12.75">
      <c r="A575" s="427"/>
      <c r="B575" s="428"/>
      <c r="C575" s="428"/>
      <c r="D575" s="428"/>
      <c r="E575" s="428"/>
      <c r="F575" s="428"/>
      <c r="G575" s="428"/>
      <c r="H575" s="428"/>
      <c r="I575" s="428"/>
      <c r="J575" s="428"/>
      <c r="K575" s="428"/>
      <c r="L575" s="428"/>
      <c r="M575" s="428"/>
    </row>
    <row r="576" spans="1:13" ht="12.75">
      <c r="A576" s="427"/>
      <c r="B576" s="428"/>
      <c r="C576" s="428"/>
      <c r="D576" s="428"/>
      <c r="E576" s="428"/>
      <c r="F576" s="428"/>
      <c r="G576" s="428"/>
      <c r="H576" s="428"/>
      <c r="I576" s="428"/>
      <c r="J576" s="428"/>
      <c r="K576" s="428"/>
      <c r="L576" s="428"/>
      <c r="M576" s="428"/>
    </row>
    <row r="577" spans="1:13" ht="12.75">
      <c r="A577" s="427"/>
      <c r="B577" s="428"/>
      <c r="C577" s="428"/>
      <c r="D577" s="428"/>
      <c r="E577" s="428"/>
      <c r="F577" s="428"/>
      <c r="G577" s="428"/>
      <c r="H577" s="428"/>
      <c r="I577" s="428"/>
      <c r="J577" s="428"/>
      <c r="K577" s="428"/>
      <c r="L577" s="428"/>
      <c r="M577" s="428"/>
    </row>
    <row r="578" spans="1:13" ht="12.75">
      <c r="A578" s="427"/>
      <c r="B578" s="428"/>
      <c r="C578" s="428"/>
      <c r="D578" s="428"/>
      <c r="E578" s="428"/>
      <c r="F578" s="428"/>
      <c r="G578" s="428"/>
      <c r="H578" s="428"/>
      <c r="I578" s="428"/>
      <c r="J578" s="428"/>
      <c r="K578" s="428"/>
      <c r="L578" s="428"/>
      <c r="M578" s="428"/>
    </row>
    <row r="579" spans="1:13" ht="12.75">
      <c r="A579" s="427"/>
      <c r="B579" s="428"/>
      <c r="C579" s="428"/>
      <c r="D579" s="428"/>
      <c r="E579" s="428"/>
      <c r="F579" s="428"/>
      <c r="G579" s="428"/>
      <c r="H579" s="428"/>
      <c r="I579" s="428"/>
      <c r="J579" s="428"/>
      <c r="K579" s="428"/>
      <c r="L579" s="428"/>
      <c r="M579" s="428"/>
    </row>
    <row r="580" spans="1:13" ht="12.75">
      <c r="A580" s="427"/>
      <c r="B580" s="428"/>
      <c r="C580" s="428"/>
      <c r="D580" s="428"/>
      <c r="E580" s="428"/>
      <c r="F580" s="428"/>
      <c r="G580" s="428"/>
      <c r="H580" s="428"/>
      <c r="I580" s="428"/>
      <c r="J580" s="428"/>
      <c r="K580" s="428"/>
      <c r="L580" s="428"/>
      <c r="M580" s="428"/>
    </row>
    <row r="581" spans="1:13" ht="12.75">
      <c r="A581" s="427"/>
      <c r="B581" s="428"/>
      <c r="C581" s="428"/>
      <c r="D581" s="428"/>
      <c r="E581" s="428"/>
      <c r="F581" s="428"/>
      <c r="G581" s="428"/>
      <c r="H581" s="428"/>
      <c r="I581" s="428"/>
      <c r="J581" s="428"/>
      <c r="K581" s="428"/>
      <c r="L581" s="428"/>
      <c r="M581" s="428"/>
    </row>
    <row r="582" spans="1:13" ht="12.75">
      <c r="A582" s="427"/>
      <c r="B582" s="428"/>
      <c r="C582" s="428"/>
      <c r="D582" s="428"/>
      <c r="E582" s="428"/>
      <c r="F582" s="428"/>
      <c r="G582" s="428"/>
      <c r="H582" s="428"/>
      <c r="I582" s="428"/>
      <c r="J582" s="428"/>
      <c r="K582" s="428"/>
      <c r="L582" s="428"/>
      <c r="M582" s="428"/>
    </row>
    <row r="583" spans="1:13" ht="12.75">
      <c r="A583" s="427"/>
      <c r="B583" s="428"/>
      <c r="C583" s="428"/>
      <c r="D583" s="428"/>
      <c r="E583" s="428"/>
      <c r="F583" s="428"/>
      <c r="G583" s="428"/>
      <c r="H583" s="428"/>
      <c r="I583" s="428"/>
      <c r="J583" s="428"/>
      <c r="K583" s="428"/>
      <c r="L583" s="428"/>
      <c r="M583" s="428"/>
    </row>
    <row r="584" spans="1:13" ht="12.75">
      <c r="A584" s="427"/>
      <c r="B584" s="428"/>
      <c r="C584" s="428"/>
      <c r="D584" s="428"/>
      <c r="E584" s="428"/>
      <c r="F584" s="428"/>
      <c r="G584" s="428"/>
      <c r="H584" s="428"/>
      <c r="I584" s="428"/>
      <c r="J584" s="428"/>
      <c r="K584" s="428"/>
      <c r="L584" s="428"/>
      <c r="M584" s="428"/>
    </row>
    <row r="585" spans="1:13" ht="12.75">
      <c r="A585" s="427"/>
      <c r="B585" s="428"/>
      <c r="C585" s="428"/>
      <c r="D585" s="428"/>
      <c r="E585" s="428"/>
      <c r="F585" s="428"/>
      <c r="G585" s="428"/>
      <c r="H585" s="428"/>
      <c r="I585" s="428"/>
      <c r="J585" s="428"/>
      <c r="K585" s="428"/>
      <c r="L585" s="428"/>
      <c r="M585" s="428"/>
    </row>
    <row r="586" spans="1:13" ht="12.75">
      <c r="A586" s="427"/>
      <c r="B586" s="428"/>
      <c r="C586" s="428"/>
      <c r="D586" s="428"/>
      <c r="E586" s="428"/>
      <c r="F586" s="428"/>
      <c r="G586" s="428"/>
      <c r="H586" s="428"/>
      <c r="I586" s="428"/>
      <c r="J586" s="428"/>
      <c r="K586" s="428"/>
      <c r="L586" s="428"/>
      <c r="M586" s="428"/>
    </row>
    <row r="587" spans="1:13" ht="12.75">
      <c r="A587" s="427"/>
      <c r="B587" s="428"/>
      <c r="C587" s="428"/>
      <c r="D587" s="428"/>
      <c r="E587" s="428"/>
      <c r="F587" s="428"/>
      <c r="G587" s="428"/>
      <c r="H587" s="428"/>
      <c r="I587" s="428"/>
      <c r="J587" s="428"/>
      <c r="K587" s="428"/>
      <c r="L587" s="428"/>
      <c r="M587" s="428"/>
    </row>
    <row r="588" spans="1:13" ht="12.75">
      <c r="A588" s="427"/>
      <c r="B588" s="428"/>
      <c r="C588" s="428"/>
      <c r="D588" s="428"/>
      <c r="E588" s="428"/>
      <c r="F588" s="428"/>
      <c r="G588" s="428"/>
      <c r="H588" s="428"/>
      <c r="I588" s="428"/>
      <c r="J588" s="428"/>
      <c r="K588" s="428"/>
      <c r="L588" s="428"/>
      <c r="M588" s="428"/>
    </row>
    <row r="589" spans="1:13" ht="12.75">
      <c r="A589" s="427"/>
      <c r="B589" s="428"/>
      <c r="C589" s="428"/>
      <c r="D589" s="428"/>
      <c r="E589" s="428"/>
      <c r="F589" s="428"/>
      <c r="G589" s="428"/>
      <c r="H589" s="428"/>
      <c r="I589" s="428"/>
      <c r="J589" s="428"/>
      <c r="K589" s="428"/>
      <c r="L589" s="428"/>
      <c r="M589" s="428"/>
    </row>
    <row r="590" spans="1:13" ht="12.75">
      <c r="A590" s="427"/>
      <c r="B590" s="428"/>
      <c r="C590" s="428"/>
      <c r="D590" s="428"/>
      <c r="E590" s="428"/>
      <c r="F590" s="428"/>
      <c r="G590" s="428"/>
      <c r="H590" s="428"/>
      <c r="I590" s="428"/>
      <c r="J590" s="428"/>
      <c r="K590" s="428"/>
      <c r="L590" s="428"/>
      <c r="M590" s="428"/>
    </row>
    <row r="591" spans="1:13" ht="12.75">
      <c r="A591" s="427"/>
      <c r="B591" s="428"/>
      <c r="C591" s="428"/>
      <c r="D591" s="428"/>
      <c r="E591" s="428"/>
      <c r="F591" s="428"/>
      <c r="G591" s="428"/>
      <c r="H591" s="428"/>
      <c r="I591" s="428"/>
      <c r="J591" s="428"/>
      <c r="K591" s="428"/>
      <c r="L591" s="428"/>
      <c r="M591" s="428"/>
    </row>
    <row r="592" spans="1:13" ht="12.75">
      <c r="A592" s="427"/>
      <c r="B592" s="428"/>
      <c r="C592" s="428"/>
      <c r="D592" s="428"/>
      <c r="E592" s="428"/>
      <c r="F592" s="428"/>
      <c r="G592" s="428"/>
      <c r="H592" s="428"/>
      <c r="I592" s="428"/>
      <c r="J592" s="428"/>
      <c r="K592" s="428"/>
      <c r="L592" s="428"/>
      <c r="M592" s="428"/>
    </row>
    <row r="593" spans="1:13" ht="12.75">
      <c r="A593" s="427"/>
      <c r="B593" s="428"/>
      <c r="C593" s="428"/>
      <c r="D593" s="428"/>
      <c r="E593" s="428"/>
      <c r="F593" s="428"/>
      <c r="G593" s="428"/>
      <c r="H593" s="428"/>
      <c r="I593" s="428"/>
      <c r="J593" s="428"/>
      <c r="K593" s="428"/>
      <c r="L593" s="428"/>
      <c r="M593" s="428"/>
    </row>
    <row r="594" spans="1:13" ht="12.75">
      <c r="A594" s="427"/>
      <c r="B594" s="428"/>
      <c r="C594" s="428"/>
      <c r="D594" s="428"/>
      <c r="E594" s="428"/>
      <c r="F594" s="428"/>
      <c r="G594" s="428"/>
      <c r="H594" s="428"/>
      <c r="I594" s="428"/>
      <c r="J594" s="428"/>
      <c r="K594" s="428"/>
      <c r="L594" s="428"/>
      <c r="M594" s="428"/>
    </row>
    <row r="595" spans="1:13" ht="12.75">
      <c r="A595" s="427"/>
      <c r="B595" s="428"/>
      <c r="C595" s="428"/>
      <c r="D595" s="428"/>
      <c r="E595" s="428"/>
      <c r="F595" s="428"/>
      <c r="G595" s="428"/>
      <c r="H595" s="428"/>
      <c r="I595" s="428"/>
      <c r="J595" s="428"/>
      <c r="K595" s="428"/>
      <c r="L595" s="428"/>
      <c r="M595" s="428"/>
    </row>
    <row r="596" spans="1:13" ht="12.75">
      <c r="A596" s="427"/>
      <c r="B596" s="428"/>
      <c r="C596" s="428"/>
      <c r="D596" s="428"/>
      <c r="E596" s="428"/>
      <c r="F596" s="428"/>
      <c r="G596" s="428"/>
      <c r="H596" s="428"/>
      <c r="I596" s="428"/>
      <c r="J596" s="428"/>
      <c r="K596" s="428"/>
      <c r="L596" s="428"/>
      <c r="M596" s="428"/>
    </row>
    <row r="597" spans="1:13" ht="12.75">
      <c r="A597" s="427"/>
      <c r="B597" s="428"/>
      <c r="C597" s="428"/>
      <c r="D597" s="428"/>
      <c r="E597" s="428"/>
      <c r="F597" s="428"/>
      <c r="G597" s="428"/>
      <c r="H597" s="428"/>
      <c r="I597" s="428"/>
      <c r="J597" s="428"/>
      <c r="K597" s="428"/>
      <c r="L597" s="428"/>
      <c r="M597" s="428"/>
    </row>
    <row r="598" spans="1:13" ht="12.75">
      <c r="A598" s="427"/>
      <c r="B598" s="428"/>
      <c r="C598" s="428"/>
      <c r="D598" s="428"/>
      <c r="E598" s="428"/>
      <c r="F598" s="428"/>
      <c r="G598" s="428"/>
      <c r="H598" s="428"/>
      <c r="I598" s="428"/>
      <c r="J598" s="428"/>
      <c r="K598" s="428"/>
      <c r="L598" s="428"/>
      <c r="M598" s="428"/>
    </row>
    <row r="599" spans="1:13" ht="12.75">
      <c r="A599" s="427"/>
      <c r="B599" s="428"/>
      <c r="C599" s="428"/>
      <c r="D599" s="428"/>
      <c r="E599" s="428"/>
      <c r="F599" s="428"/>
      <c r="G599" s="428"/>
      <c r="H599" s="428"/>
      <c r="I599" s="428"/>
      <c r="J599" s="428"/>
      <c r="K599" s="428"/>
      <c r="L599" s="428"/>
      <c r="M599" s="428"/>
    </row>
    <row r="600" spans="1:13" ht="12.75">
      <c r="A600" s="427"/>
      <c r="B600" s="428"/>
      <c r="C600" s="428"/>
      <c r="D600" s="428"/>
      <c r="E600" s="428"/>
      <c r="F600" s="428"/>
      <c r="G600" s="428"/>
      <c r="H600" s="428"/>
      <c r="I600" s="428"/>
      <c r="J600" s="428"/>
      <c r="K600" s="428"/>
      <c r="L600" s="428"/>
      <c r="M600" s="428"/>
    </row>
    <row r="601" spans="1:13" ht="12.75">
      <c r="A601" s="427"/>
      <c r="B601" s="428"/>
      <c r="C601" s="428"/>
      <c r="D601" s="428"/>
      <c r="E601" s="428"/>
      <c r="F601" s="428"/>
      <c r="G601" s="428"/>
      <c r="H601" s="428"/>
      <c r="I601" s="428"/>
      <c r="J601" s="428"/>
      <c r="K601" s="428"/>
      <c r="L601" s="428"/>
      <c r="M601" s="428"/>
    </row>
    <row r="602" spans="1:13" ht="12.75">
      <c r="A602" s="427"/>
      <c r="B602" s="428"/>
      <c r="C602" s="428"/>
      <c r="D602" s="428"/>
      <c r="E602" s="428"/>
      <c r="F602" s="428"/>
      <c r="G602" s="428"/>
      <c r="H602" s="428"/>
      <c r="I602" s="428"/>
      <c r="J602" s="428"/>
      <c r="K602" s="428"/>
      <c r="L602" s="428"/>
      <c r="M602" s="428"/>
    </row>
    <row r="603" spans="1:13" ht="12.75">
      <c r="A603" s="427"/>
      <c r="B603" s="428"/>
      <c r="C603" s="428"/>
      <c r="D603" s="428"/>
      <c r="E603" s="428"/>
      <c r="F603" s="428"/>
      <c r="G603" s="428"/>
      <c r="H603" s="428"/>
      <c r="I603" s="428"/>
      <c r="J603" s="428"/>
      <c r="K603" s="428"/>
      <c r="L603" s="428"/>
      <c r="M603" s="428"/>
    </row>
    <row r="604" spans="1:13" ht="12.75">
      <c r="A604" s="427"/>
      <c r="B604" s="428"/>
      <c r="C604" s="428"/>
      <c r="D604" s="428"/>
      <c r="E604" s="428"/>
      <c r="F604" s="428"/>
      <c r="G604" s="428"/>
      <c r="H604" s="428"/>
      <c r="I604" s="428"/>
      <c r="J604" s="428"/>
      <c r="K604" s="428"/>
      <c r="L604" s="428"/>
      <c r="M604" s="428"/>
    </row>
    <row r="605" spans="1:13" ht="12.75">
      <c r="A605" s="427"/>
      <c r="B605" s="428"/>
      <c r="C605" s="428"/>
      <c r="D605" s="428"/>
      <c r="E605" s="428"/>
      <c r="F605" s="428"/>
      <c r="G605" s="428"/>
      <c r="H605" s="428"/>
      <c r="I605" s="428"/>
      <c r="J605" s="428"/>
      <c r="K605" s="428"/>
      <c r="L605" s="428"/>
      <c r="M605" s="428"/>
    </row>
    <row r="606" spans="1:13" ht="12.75">
      <c r="A606" s="427"/>
      <c r="B606" s="428"/>
      <c r="C606" s="428"/>
      <c r="D606" s="428"/>
      <c r="E606" s="428"/>
      <c r="F606" s="428"/>
      <c r="G606" s="428"/>
      <c r="H606" s="428"/>
      <c r="I606" s="428"/>
      <c r="J606" s="428"/>
      <c r="K606" s="428"/>
      <c r="L606" s="428"/>
      <c r="M606" s="428"/>
    </row>
    <row r="607" spans="1:13" ht="12.75">
      <c r="A607" s="427"/>
      <c r="B607" s="428"/>
      <c r="C607" s="428"/>
      <c r="D607" s="428"/>
      <c r="E607" s="428"/>
      <c r="F607" s="428"/>
      <c r="G607" s="428"/>
      <c r="H607" s="428"/>
      <c r="I607" s="428"/>
      <c r="J607" s="428"/>
      <c r="K607" s="428"/>
      <c r="L607" s="428"/>
      <c r="M607" s="428"/>
    </row>
    <row r="608" spans="1:13" ht="12.75">
      <c r="A608" s="427"/>
      <c r="B608" s="428"/>
      <c r="C608" s="428"/>
      <c r="D608" s="428"/>
      <c r="E608" s="428"/>
      <c r="F608" s="428"/>
      <c r="G608" s="428"/>
      <c r="H608" s="428"/>
      <c r="I608" s="428"/>
      <c r="J608" s="428"/>
      <c r="K608" s="428"/>
      <c r="L608" s="428"/>
      <c r="M608" s="428"/>
    </row>
    <row r="609" spans="1:13" ht="12.75">
      <c r="A609" s="427"/>
      <c r="B609" s="428"/>
      <c r="C609" s="428"/>
      <c r="D609" s="428"/>
      <c r="E609" s="428"/>
      <c r="F609" s="428"/>
      <c r="G609" s="428"/>
      <c r="H609" s="428"/>
      <c r="I609" s="428"/>
      <c r="J609" s="428"/>
      <c r="K609" s="428"/>
      <c r="L609" s="428"/>
      <c r="M609" s="428"/>
    </row>
    <row r="610" spans="1:13" ht="12.75">
      <c r="A610" s="427"/>
      <c r="B610" s="428"/>
      <c r="C610" s="428"/>
      <c r="D610" s="428"/>
      <c r="E610" s="428"/>
      <c r="F610" s="428"/>
      <c r="G610" s="428"/>
      <c r="H610" s="428"/>
      <c r="I610" s="428"/>
      <c r="J610" s="428"/>
      <c r="K610" s="428"/>
      <c r="L610" s="428"/>
      <c r="M610" s="428"/>
    </row>
    <row r="611" spans="1:13" ht="12.75">
      <c r="A611" s="427"/>
      <c r="B611" s="428"/>
      <c r="C611" s="428"/>
      <c r="D611" s="428"/>
      <c r="E611" s="428"/>
      <c r="F611" s="428"/>
      <c r="G611" s="428"/>
      <c r="H611" s="428"/>
      <c r="I611" s="428"/>
      <c r="J611" s="428"/>
      <c r="K611" s="428"/>
      <c r="L611" s="428"/>
      <c r="M611" s="428"/>
    </row>
    <row r="612" spans="1:13" ht="12.75">
      <c r="A612" s="427"/>
      <c r="B612" s="428"/>
      <c r="C612" s="428"/>
      <c r="D612" s="428"/>
      <c r="E612" s="428"/>
      <c r="F612" s="428"/>
      <c r="G612" s="428"/>
      <c r="H612" s="428"/>
      <c r="I612" s="428"/>
      <c r="J612" s="428"/>
      <c r="K612" s="428"/>
      <c r="L612" s="428"/>
      <c r="M612" s="428"/>
    </row>
    <row r="613" spans="1:13" ht="12.75">
      <c r="A613" s="427"/>
      <c r="B613" s="428"/>
      <c r="C613" s="428"/>
      <c r="D613" s="428"/>
      <c r="E613" s="428"/>
      <c r="F613" s="428"/>
      <c r="G613" s="428"/>
      <c r="H613" s="428"/>
      <c r="I613" s="428"/>
      <c r="J613" s="428"/>
      <c r="K613" s="428"/>
      <c r="L613" s="428"/>
      <c r="M613" s="428"/>
    </row>
    <row r="614" spans="1:13" ht="12.75">
      <c r="A614" s="427"/>
      <c r="B614" s="428"/>
      <c r="C614" s="428"/>
      <c r="D614" s="428"/>
      <c r="E614" s="428"/>
      <c r="F614" s="428"/>
      <c r="G614" s="428"/>
      <c r="H614" s="428"/>
      <c r="I614" s="428"/>
      <c r="J614" s="428"/>
      <c r="K614" s="428"/>
      <c r="L614" s="428"/>
      <c r="M614" s="428"/>
    </row>
    <row r="615" spans="1:13" ht="12.75">
      <c r="A615" s="427"/>
      <c r="B615" s="428"/>
      <c r="C615" s="428"/>
      <c r="D615" s="428"/>
      <c r="E615" s="428"/>
      <c r="F615" s="428"/>
      <c r="G615" s="428"/>
      <c r="H615" s="428"/>
      <c r="I615" s="428"/>
      <c r="J615" s="428"/>
      <c r="K615" s="428"/>
      <c r="L615" s="428"/>
      <c r="M615" s="428"/>
    </row>
    <row r="616" spans="1:13" ht="12.75">
      <c r="A616" s="427"/>
      <c r="B616" s="428"/>
      <c r="C616" s="428"/>
      <c r="D616" s="428"/>
      <c r="E616" s="428"/>
      <c r="F616" s="428"/>
      <c r="G616" s="428"/>
      <c r="H616" s="428"/>
      <c r="I616" s="428"/>
      <c r="J616" s="428"/>
      <c r="K616" s="428"/>
      <c r="L616" s="428"/>
      <c r="M616" s="428"/>
    </row>
    <row r="617" spans="1:13" ht="12.75">
      <c r="A617" s="427"/>
      <c r="B617" s="428"/>
      <c r="C617" s="428"/>
      <c r="D617" s="428"/>
      <c r="E617" s="428"/>
      <c r="F617" s="428"/>
      <c r="G617" s="428"/>
      <c r="H617" s="428"/>
      <c r="I617" s="428"/>
      <c r="J617" s="428"/>
      <c r="K617" s="428"/>
      <c r="L617" s="428"/>
      <c r="M617" s="428"/>
    </row>
    <row r="618" spans="1:13" ht="12.75">
      <c r="A618" s="427"/>
      <c r="B618" s="428"/>
      <c r="C618" s="428"/>
      <c r="D618" s="428"/>
      <c r="E618" s="428"/>
      <c r="F618" s="428"/>
      <c r="G618" s="428"/>
      <c r="H618" s="428"/>
      <c r="I618" s="428"/>
      <c r="J618" s="428"/>
      <c r="K618" s="428"/>
      <c r="L618" s="428"/>
      <c r="M618" s="428"/>
    </row>
    <row r="619" spans="1:13" ht="12.75">
      <c r="A619" s="427"/>
      <c r="B619" s="428"/>
      <c r="C619" s="428"/>
      <c r="D619" s="428"/>
      <c r="E619" s="428"/>
      <c r="F619" s="428"/>
      <c r="G619" s="428"/>
      <c r="H619" s="428"/>
      <c r="I619" s="428"/>
      <c r="J619" s="428"/>
      <c r="K619" s="428"/>
      <c r="L619" s="428"/>
      <c r="M619" s="428"/>
    </row>
    <row r="620" spans="1:13" ht="12.75">
      <c r="A620" s="427"/>
      <c r="B620" s="428"/>
      <c r="C620" s="428"/>
      <c r="D620" s="428"/>
      <c r="E620" s="428"/>
      <c r="F620" s="428"/>
      <c r="G620" s="428"/>
      <c r="H620" s="428"/>
      <c r="I620" s="428"/>
      <c r="J620" s="428"/>
      <c r="K620" s="428"/>
      <c r="L620" s="428"/>
      <c r="M620" s="428"/>
    </row>
    <row r="621" spans="1:13" ht="12.75">
      <c r="A621" s="427"/>
      <c r="B621" s="428"/>
      <c r="C621" s="428"/>
      <c r="D621" s="428"/>
      <c r="E621" s="428"/>
      <c r="F621" s="428"/>
      <c r="G621" s="428"/>
      <c r="H621" s="428"/>
      <c r="I621" s="428"/>
      <c r="J621" s="428"/>
      <c r="K621" s="428"/>
      <c r="L621" s="428"/>
      <c r="M621" s="428"/>
    </row>
    <row r="622" spans="1:13" ht="12.75">
      <c r="A622" s="427"/>
      <c r="B622" s="428"/>
      <c r="C622" s="428"/>
      <c r="D622" s="428"/>
      <c r="E622" s="428"/>
      <c r="F622" s="428"/>
      <c r="G622" s="428"/>
      <c r="H622" s="428"/>
      <c r="I622" s="428"/>
      <c r="J622" s="428"/>
      <c r="K622" s="428"/>
      <c r="L622" s="428"/>
      <c r="M622" s="428"/>
    </row>
    <row r="623" spans="1:13" ht="12.75">
      <c r="A623" s="427"/>
      <c r="B623" s="428"/>
      <c r="C623" s="428"/>
      <c r="D623" s="428"/>
      <c r="E623" s="428"/>
      <c r="F623" s="428"/>
      <c r="G623" s="428"/>
      <c r="H623" s="428"/>
      <c r="I623" s="428"/>
      <c r="J623" s="428"/>
      <c r="K623" s="428"/>
      <c r="L623" s="428"/>
      <c r="M623" s="428"/>
    </row>
    <row r="624" spans="1:13" ht="12.75">
      <c r="A624" s="427"/>
      <c r="B624" s="428"/>
      <c r="C624" s="428"/>
      <c r="D624" s="428"/>
      <c r="E624" s="428"/>
      <c r="F624" s="428"/>
      <c r="G624" s="428"/>
      <c r="H624" s="428"/>
      <c r="I624" s="428"/>
      <c r="J624" s="428"/>
      <c r="K624" s="428"/>
      <c r="L624" s="428"/>
      <c r="M624" s="428"/>
    </row>
    <row r="625" spans="1:13" ht="12.75">
      <c r="A625" s="427"/>
      <c r="B625" s="428"/>
      <c r="C625" s="428"/>
      <c r="D625" s="428"/>
      <c r="E625" s="428"/>
      <c r="F625" s="428"/>
      <c r="G625" s="428"/>
      <c r="H625" s="428"/>
      <c r="I625" s="428"/>
      <c r="J625" s="428"/>
      <c r="K625" s="428"/>
      <c r="L625" s="428"/>
      <c r="M625" s="428"/>
    </row>
    <row r="626" spans="1:13" ht="12.75">
      <c r="A626" s="427"/>
      <c r="B626" s="428"/>
      <c r="C626" s="428"/>
      <c r="D626" s="428"/>
      <c r="E626" s="428"/>
      <c r="F626" s="428"/>
      <c r="G626" s="428"/>
      <c r="H626" s="428"/>
      <c r="I626" s="428"/>
      <c r="J626" s="428"/>
      <c r="K626" s="428"/>
      <c r="L626" s="428"/>
      <c r="M626" s="428"/>
    </row>
    <row r="627" spans="1:13" ht="12.75">
      <c r="A627" s="427"/>
      <c r="B627" s="428"/>
      <c r="C627" s="428"/>
      <c r="D627" s="428"/>
      <c r="E627" s="428"/>
      <c r="F627" s="428"/>
      <c r="G627" s="428"/>
      <c r="H627" s="428"/>
      <c r="I627" s="428"/>
      <c r="J627" s="428"/>
      <c r="K627" s="428"/>
      <c r="L627" s="428"/>
      <c r="M627" s="428"/>
    </row>
    <row r="628" spans="1:13" ht="12.75">
      <c r="A628" s="427"/>
      <c r="B628" s="428"/>
      <c r="C628" s="428"/>
      <c r="D628" s="428"/>
      <c r="E628" s="428"/>
      <c r="F628" s="428"/>
      <c r="G628" s="428"/>
      <c r="H628" s="428"/>
      <c r="I628" s="428"/>
      <c r="J628" s="428"/>
      <c r="K628" s="428"/>
      <c r="L628" s="428"/>
      <c r="M628" s="428"/>
    </row>
    <row r="629" spans="1:13" ht="12.75">
      <c r="A629" s="427"/>
      <c r="B629" s="428"/>
      <c r="C629" s="428"/>
      <c r="D629" s="428"/>
      <c r="E629" s="428"/>
      <c r="F629" s="428"/>
      <c r="G629" s="428"/>
      <c r="H629" s="428"/>
      <c r="I629" s="428"/>
      <c r="J629" s="428"/>
      <c r="K629" s="428"/>
      <c r="L629" s="428"/>
      <c r="M629" s="428"/>
    </row>
    <row r="630" spans="1:13" ht="12.75">
      <c r="A630" s="427"/>
      <c r="B630" s="428"/>
      <c r="C630" s="428"/>
      <c r="D630" s="428"/>
      <c r="E630" s="428"/>
      <c r="F630" s="428"/>
      <c r="G630" s="428"/>
      <c r="H630" s="428"/>
      <c r="I630" s="428"/>
      <c r="J630" s="428"/>
      <c r="K630" s="428"/>
      <c r="L630" s="428"/>
      <c r="M630" s="428"/>
    </row>
    <row r="631" spans="1:13" ht="12.75">
      <c r="A631" s="427"/>
      <c r="B631" s="428"/>
      <c r="C631" s="428"/>
      <c r="D631" s="428"/>
      <c r="E631" s="428"/>
      <c r="F631" s="428"/>
      <c r="G631" s="428"/>
      <c r="H631" s="428"/>
      <c r="I631" s="428"/>
      <c r="J631" s="428"/>
      <c r="K631" s="428"/>
      <c r="L631" s="428"/>
      <c r="M631" s="428"/>
    </row>
    <row r="632" spans="1:13" ht="12.75">
      <c r="A632" s="427"/>
      <c r="B632" s="428"/>
      <c r="C632" s="428"/>
      <c r="D632" s="428"/>
      <c r="E632" s="428"/>
      <c r="F632" s="428"/>
      <c r="G632" s="428"/>
      <c r="H632" s="428"/>
      <c r="I632" s="428"/>
      <c r="J632" s="428"/>
      <c r="K632" s="428"/>
      <c r="L632" s="428"/>
      <c r="M632" s="428"/>
    </row>
    <row r="633" spans="1:13" ht="12.75">
      <c r="A633" s="427"/>
      <c r="B633" s="428"/>
      <c r="C633" s="428"/>
      <c r="D633" s="428"/>
      <c r="E633" s="428"/>
      <c r="F633" s="428"/>
      <c r="G633" s="428"/>
      <c r="H633" s="428"/>
      <c r="I633" s="428"/>
      <c r="J633" s="428"/>
      <c r="K633" s="428"/>
      <c r="L633" s="428"/>
      <c r="M633" s="428"/>
    </row>
    <row r="634" spans="1:13" ht="12.75">
      <c r="A634" s="427"/>
      <c r="B634" s="428"/>
      <c r="C634" s="428"/>
      <c r="D634" s="428"/>
      <c r="E634" s="428"/>
      <c r="F634" s="428"/>
      <c r="G634" s="428"/>
      <c r="H634" s="428"/>
      <c r="I634" s="428"/>
      <c r="J634" s="428"/>
      <c r="K634" s="428"/>
      <c r="L634" s="428"/>
      <c r="M634" s="428"/>
    </row>
    <row r="635" spans="1:13" ht="12.75">
      <c r="A635" s="427"/>
      <c r="B635" s="428"/>
      <c r="C635" s="428"/>
      <c r="D635" s="428"/>
      <c r="E635" s="428"/>
      <c r="F635" s="428"/>
      <c r="G635" s="428"/>
      <c r="H635" s="428"/>
      <c r="I635" s="428"/>
      <c r="J635" s="428"/>
      <c r="K635" s="428"/>
      <c r="L635" s="428"/>
      <c r="M635" s="428"/>
    </row>
    <row r="636" spans="1:13" ht="12.75">
      <c r="A636" s="427"/>
      <c r="B636" s="428"/>
      <c r="C636" s="428"/>
      <c r="D636" s="428"/>
      <c r="E636" s="428"/>
      <c r="F636" s="428"/>
      <c r="G636" s="428"/>
      <c r="H636" s="428"/>
      <c r="I636" s="428"/>
      <c r="J636" s="428"/>
      <c r="K636" s="428"/>
      <c r="L636" s="428"/>
      <c r="M636" s="428"/>
    </row>
    <row r="637" spans="1:13" ht="12.75">
      <c r="A637" s="427"/>
      <c r="B637" s="428"/>
      <c r="C637" s="428"/>
      <c r="D637" s="428"/>
      <c r="E637" s="428"/>
      <c r="F637" s="428"/>
      <c r="G637" s="428"/>
      <c r="H637" s="428"/>
      <c r="I637" s="428"/>
      <c r="J637" s="428"/>
      <c r="K637" s="428"/>
      <c r="L637" s="428"/>
      <c r="M637" s="428"/>
    </row>
    <row r="638" spans="1:13" ht="12.75">
      <c r="A638" s="427"/>
      <c r="B638" s="428"/>
      <c r="C638" s="428"/>
      <c r="D638" s="428"/>
      <c r="E638" s="428"/>
      <c r="F638" s="428"/>
      <c r="G638" s="428"/>
      <c r="H638" s="428"/>
      <c r="I638" s="428"/>
      <c r="J638" s="428"/>
      <c r="K638" s="428"/>
      <c r="L638" s="428"/>
      <c r="M638" s="428"/>
    </row>
    <row r="639" spans="1:13" ht="12.75">
      <c r="A639" s="427"/>
      <c r="B639" s="428"/>
      <c r="C639" s="428"/>
      <c r="D639" s="428"/>
      <c r="E639" s="428"/>
      <c r="F639" s="428"/>
      <c r="G639" s="428"/>
      <c r="H639" s="428"/>
      <c r="I639" s="428"/>
      <c r="J639" s="428"/>
      <c r="K639" s="428"/>
      <c r="L639" s="428"/>
      <c r="M639" s="428"/>
    </row>
    <row r="640" spans="1:13" ht="12.75">
      <c r="A640" s="427"/>
      <c r="B640" s="428"/>
      <c r="C640" s="428"/>
      <c r="D640" s="428"/>
      <c r="E640" s="428"/>
      <c r="F640" s="428"/>
      <c r="G640" s="428"/>
      <c r="H640" s="428"/>
      <c r="I640" s="428"/>
      <c r="J640" s="428"/>
      <c r="K640" s="428"/>
      <c r="L640" s="428"/>
      <c r="M640" s="428"/>
    </row>
    <row r="641" spans="1:13" ht="12.75">
      <c r="A641" s="427"/>
      <c r="B641" s="428"/>
      <c r="C641" s="428"/>
      <c r="D641" s="428"/>
      <c r="E641" s="428"/>
      <c r="F641" s="428"/>
      <c r="G641" s="428"/>
      <c r="H641" s="428"/>
      <c r="I641" s="428"/>
      <c r="J641" s="428"/>
      <c r="K641" s="428"/>
      <c r="L641" s="428"/>
      <c r="M641" s="428"/>
    </row>
    <row r="642" spans="1:13" ht="12.75">
      <c r="A642" s="427"/>
      <c r="B642" s="428"/>
      <c r="C642" s="428"/>
      <c r="D642" s="428"/>
      <c r="E642" s="428"/>
      <c r="F642" s="428"/>
      <c r="G642" s="428"/>
      <c r="H642" s="428"/>
      <c r="I642" s="428"/>
      <c r="J642" s="428"/>
      <c r="K642" s="428"/>
      <c r="L642" s="428"/>
      <c r="M642" s="428"/>
    </row>
    <row r="643" spans="1:13" ht="12.75">
      <c r="A643" s="427"/>
      <c r="B643" s="428"/>
      <c r="C643" s="428"/>
      <c r="D643" s="428"/>
      <c r="E643" s="428"/>
      <c r="F643" s="428"/>
      <c r="G643" s="428"/>
      <c r="H643" s="428"/>
      <c r="I643" s="428"/>
      <c r="J643" s="428"/>
      <c r="K643" s="428"/>
      <c r="L643" s="428"/>
      <c r="M643" s="428"/>
    </row>
    <row r="644" spans="1:13" ht="12.75">
      <c r="A644" s="427"/>
      <c r="B644" s="428"/>
      <c r="C644" s="428"/>
      <c r="D644" s="428"/>
      <c r="E644" s="428"/>
      <c r="F644" s="428"/>
      <c r="G644" s="428"/>
      <c r="H644" s="428"/>
      <c r="I644" s="428"/>
      <c r="J644" s="428"/>
      <c r="K644" s="428"/>
      <c r="L644" s="428"/>
      <c r="M644" s="428"/>
    </row>
    <row r="645" spans="1:13" ht="12.75">
      <c r="A645" s="427"/>
      <c r="B645" s="428"/>
      <c r="C645" s="428"/>
      <c r="D645" s="428"/>
      <c r="E645" s="428"/>
      <c r="F645" s="428"/>
      <c r="G645" s="428"/>
      <c r="H645" s="428"/>
      <c r="I645" s="428"/>
      <c r="J645" s="428"/>
      <c r="K645" s="428"/>
      <c r="L645" s="428"/>
      <c r="M645" s="428"/>
    </row>
    <row r="646" spans="1:13" ht="12.75">
      <c r="A646" s="427"/>
      <c r="B646" s="428"/>
      <c r="C646" s="428"/>
      <c r="D646" s="428"/>
      <c r="E646" s="428"/>
      <c r="F646" s="428"/>
      <c r="G646" s="428"/>
      <c r="H646" s="428"/>
      <c r="I646" s="428"/>
      <c r="J646" s="428"/>
      <c r="K646" s="428"/>
      <c r="L646" s="428"/>
      <c r="M646" s="428"/>
    </row>
    <row r="647" spans="1:13" ht="12.75">
      <c r="A647" s="427"/>
      <c r="B647" s="428"/>
      <c r="C647" s="428"/>
      <c r="D647" s="428"/>
      <c r="E647" s="428"/>
      <c r="F647" s="428"/>
      <c r="G647" s="428"/>
      <c r="H647" s="428"/>
      <c r="I647" s="428"/>
      <c r="J647" s="428"/>
      <c r="K647" s="428"/>
      <c r="L647" s="428"/>
      <c r="M647" s="428"/>
    </row>
    <row r="648" spans="1:13" ht="12.75">
      <c r="A648" s="427"/>
      <c r="B648" s="428"/>
      <c r="C648" s="428"/>
      <c r="D648" s="428"/>
      <c r="E648" s="428"/>
      <c r="F648" s="428"/>
      <c r="G648" s="428"/>
      <c r="H648" s="428"/>
      <c r="I648" s="428"/>
      <c r="J648" s="428"/>
      <c r="K648" s="428"/>
      <c r="L648" s="428"/>
      <c r="M648" s="428"/>
    </row>
    <row r="649" spans="1:13" ht="12.75">
      <c r="A649" s="427"/>
      <c r="B649" s="428"/>
      <c r="C649" s="428"/>
      <c r="D649" s="428"/>
      <c r="E649" s="428"/>
      <c r="F649" s="428"/>
      <c r="G649" s="428"/>
      <c r="H649" s="428"/>
      <c r="I649" s="428"/>
      <c r="J649" s="428"/>
      <c r="K649" s="428"/>
      <c r="L649" s="428"/>
      <c r="M649" s="428"/>
    </row>
    <row r="650" spans="1:13" ht="12.75">
      <c r="A650" s="427"/>
      <c r="B650" s="428"/>
      <c r="C650" s="428"/>
      <c r="D650" s="428"/>
      <c r="E650" s="428"/>
      <c r="F650" s="428"/>
      <c r="G650" s="428"/>
      <c r="H650" s="428"/>
      <c r="I650" s="428"/>
      <c r="J650" s="428"/>
      <c r="K650" s="428"/>
      <c r="L650" s="428"/>
      <c r="M650" s="428"/>
    </row>
    <row r="651" spans="1:13" ht="12.75">
      <c r="A651" s="427"/>
      <c r="B651" s="428"/>
      <c r="C651" s="428"/>
      <c r="D651" s="428"/>
      <c r="E651" s="428"/>
      <c r="F651" s="428"/>
      <c r="G651" s="428"/>
      <c r="H651" s="428"/>
      <c r="I651" s="428"/>
      <c r="J651" s="428"/>
      <c r="K651" s="428"/>
      <c r="L651" s="428"/>
      <c r="M651" s="428"/>
    </row>
    <row r="652" spans="1:13" ht="12.75">
      <c r="A652" s="427"/>
      <c r="B652" s="428"/>
      <c r="C652" s="428"/>
      <c r="D652" s="428"/>
      <c r="E652" s="428"/>
      <c r="F652" s="428"/>
      <c r="G652" s="428"/>
      <c r="H652" s="428"/>
      <c r="I652" s="428"/>
      <c r="J652" s="428"/>
      <c r="K652" s="428"/>
      <c r="L652" s="428"/>
      <c r="M652" s="428"/>
    </row>
    <row r="653" spans="1:13" ht="12.75">
      <c r="A653" s="427"/>
      <c r="B653" s="428"/>
      <c r="C653" s="428"/>
      <c r="D653" s="428"/>
      <c r="E653" s="428"/>
      <c r="F653" s="428"/>
      <c r="G653" s="428"/>
      <c r="H653" s="428"/>
      <c r="I653" s="428"/>
      <c r="J653" s="428"/>
      <c r="K653" s="428"/>
      <c r="L653" s="428"/>
      <c r="M653" s="428"/>
    </row>
    <row r="654" spans="1:13" ht="12.75">
      <c r="A654" s="427"/>
      <c r="B654" s="428"/>
      <c r="C654" s="428"/>
      <c r="D654" s="428"/>
      <c r="E654" s="428"/>
      <c r="F654" s="428"/>
      <c r="G654" s="428"/>
      <c r="H654" s="428"/>
      <c r="I654" s="428"/>
      <c r="J654" s="428"/>
      <c r="K654" s="428"/>
      <c r="L654" s="428"/>
      <c r="M654" s="428"/>
    </row>
    <row r="655" spans="1:13" ht="12.75">
      <c r="A655" s="427"/>
      <c r="B655" s="428"/>
      <c r="C655" s="428"/>
      <c r="D655" s="428"/>
      <c r="E655" s="428"/>
      <c r="F655" s="428"/>
      <c r="G655" s="428"/>
      <c r="H655" s="428"/>
      <c r="I655" s="428"/>
      <c r="J655" s="428"/>
      <c r="K655" s="428"/>
      <c r="L655" s="428"/>
      <c r="M655" s="428"/>
    </row>
    <row r="656" spans="1:13" ht="12.75">
      <c r="A656" s="427"/>
      <c r="B656" s="428"/>
      <c r="C656" s="428"/>
      <c r="D656" s="428"/>
      <c r="E656" s="428"/>
      <c r="F656" s="428"/>
      <c r="G656" s="428"/>
      <c r="H656" s="428"/>
      <c r="I656" s="428"/>
      <c r="J656" s="428"/>
      <c r="K656" s="428"/>
      <c r="L656" s="428"/>
      <c r="M656" s="428"/>
    </row>
    <row r="657" spans="1:13" ht="12.75">
      <c r="A657" s="427"/>
      <c r="B657" s="428"/>
      <c r="C657" s="428"/>
      <c r="D657" s="428"/>
      <c r="E657" s="428"/>
      <c r="F657" s="428"/>
      <c r="G657" s="428"/>
      <c r="H657" s="428"/>
      <c r="I657" s="428"/>
      <c r="J657" s="428"/>
      <c r="K657" s="428"/>
      <c r="L657" s="428"/>
      <c r="M657" s="428"/>
    </row>
    <row r="658" spans="1:13" ht="12.75">
      <c r="A658" s="427"/>
      <c r="B658" s="428"/>
      <c r="C658" s="428"/>
      <c r="D658" s="428"/>
      <c r="E658" s="428"/>
      <c r="F658" s="428"/>
      <c r="G658" s="428"/>
      <c r="H658" s="428"/>
      <c r="I658" s="428"/>
      <c r="J658" s="428"/>
      <c r="K658" s="428"/>
      <c r="L658" s="428"/>
      <c r="M658" s="428"/>
    </row>
    <row r="659" spans="1:13" ht="12.75">
      <c r="A659" s="427"/>
      <c r="B659" s="428"/>
      <c r="C659" s="428"/>
      <c r="D659" s="428"/>
      <c r="E659" s="428"/>
      <c r="F659" s="428"/>
      <c r="G659" s="428"/>
      <c r="H659" s="428"/>
      <c r="I659" s="428"/>
      <c r="J659" s="428"/>
      <c r="K659" s="428"/>
      <c r="L659" s="428"/>
      <c r="M659" s="428"/>
    </row>
    <row r="660" spans="1:13" ht="12.75">
      <c r="A660" s="427"/>
      <c r="B660" s="428"/>
      <c r="C660" s="428"/>
      <c r="D660" s="428"/>
      <c r="E660" s="428"/>
      <c r="F660" s="428"/>
      <c r="G660" s="428"/>
      <c r="H660" s="428"/>
      <c r="I660" s="428"/>
      <c r="J660" s="428"/>
      <c r="K660" s="428"/>
      <c r="L660" s="428"/>
      <c r="M660" s="428"/>
    </row>
    <row r="661" spans="1:13" ht="12.75">
      <c r="A661" s="427"/>
      <c r="B661" s="428"/>
      <c r="C661" s="428"/>
      <c r="D661" s="428"/>
      <c r="E661" s="428"/>
      <c r="F661" s="428"/>
      <c r="G661" s="428"/>
      <c r="H661" s="428"/>
      <c r="I661" s="428"/>
      <c r="J661" s="428"/>
      <c r="K661" s="428"/>
      <c r="L661" s="428"/>
      <c r="M661" s="428"/>
    </row>
    <row r="662" spans="1:13" ht="12.75">
      <c r="A662" s="427"/>
      <c r="B662" s="428"/>
      <c r="C662" s="428"/>
      <c r="D662" s="428"/>
      <c r="E662" s="428"/>
      <c r="F662" s="428"/>
      <c r="G662" s="428"/>
      <c r="H662" s="428"/>
      <c r="I662" s="428"/>
      <c r="J662" s="428"/>
      <c r="K662" s="428"/>
      <c r="L662" s="428"/>
      <c r="M662" s="428"/>
    </row>
    <row r="663" spans="1:13" ht="12.75">
      <c r="A663" s="427"/>
      <c r="B663" s="428"/>
      <c r="C663" s="428"/>
      <c r="D663" s="428"/>
      <c r="E663" s="428"/>
      <c r="F663" s="428"/>
      <c r="G663" s="428"/>
      <c r="H663" s="428"/>
      <c r="I663" s="428"/>
      <c r="J663" s="428"/>
      <c r="K663" s="428"/>
      <c r="L663" s="428"/>
      <c r="M663" s="428"/>
    </row>
    <row r="664" spans="1:13" ht="12.75">
      <c r="A664" s="427"/>
      <c r="B664" s="428"/>
      <c r="C664" s="428"/>
      <c r="D664" s="428"/>
      <c r="E664" s="428"/>
      <c r="F664" s="428"/>
      <c r="G664" s="428"/>
      <c r="H664" s="428"/>
      <c r="I664" s="428"/>
      <c r="J664" s="428"/>
      <c r="K664" s="428"/>
      <c r="L664" s="428"/>
      <c r="M664" s="428"/>
    </row>
    <row r="665" spans="1:13" ht="12.75">
      <c r="A665" s="427"/>
      <c r="B665" s="428"/>
      <c r="C665" s="428"/>
      <c r="D665" s="428"/>
      <c r="E665" s="428"/>
      <c r="F665" s="428"/>
      <c r="G665" s="428"/>
      <c r="H665" s="428"/>
      <c r="I665" s="428"/>
      <c r="J665" s="428"/>
      <c r="K665" s="428"/>
      <c r="L665" s="428"/>
      <c r="M665" s="428"/>
    </row>
    <row r="666" spans="1:13" ht="12.75">
      <c r="A666" s="427"/>
      <c r="B666" s="428"/>
      <c r="C666" s="428"/>
      <c r="D666" s="428"/>
      <c r="E666" s="428"/>
      <c r="F666" s="428"/>
      <c r="G666" s="428"/>
      <c r="H666" s="428"/>
      <c r="I666" s="428"/>
      <c r="J666" s="428"/>
      <c r="K666" s="428"/>
      <c r="L666" s="428"/>
      <c r="M666" s="428"/>
    </row>
    <row r="667" spans="1:13" ht="12.75">
      <c r="A667" s="427"/>
      <c r="B667" s="428"/>
      <c r="C667" s="428"/>
      <c r="D667" s="428"/>
      <c r="E667" s="428"/>
      <c r="F667" s="428"/>
      <c r="G667" s="428"/>
      <c r="H667" s="428"/>
      <c r="I667" s="428"/>
      <c r="J667" s="428"/>
      <c r="K667" s="428"/>
      <c r="L667" s="428"/>
      <c r="M667" s="428"/>
    </row>
    <row r="668" spans="1:13" ht="12.75">
      <c r="A668" s="427"/>
      <c r="B668" s="428"/>
      <c r="C668" s="428"/>
      <c r="D668" s="428"/>
      <c r="E668" s="428"/>
      <c r="F668" s="428"/>
      <c r="G668" s="428"/>
      <c r="H668" s="428"/>
      <c r="I668" s="428"/>
      <c r="J668" s="428"/>
      <c r="K668" s="428"/>
      <c r="L668" s="428"/>
      <c r="M668" s="428"/>
    </row>
    <row r="669" spans="1:13" ht="12.75">
      <c r="A669" s="427"/>
      <c r="B669" s="428"/>
      <c r="C669" s="428"/>
      <c r="D669" s="428"/>
      <c r="E669" s="428"/>
      <c r="F669" s="428"/>
      <c r="G669" s="428"/>
      <c r="H669" s="428"/>
      <c r="I669" s="428"/>
      <c r="J669" s="428"/>
      <c r="K669" s="428"/>
      <c r="L669" s="428"/>
      <c r="M669" s="428"/>
    </row>
    <row r="670" spans="1:13" ht="12.75">
      <c r="A670" s="427"/>
      <c r="B670" s="428"/>
      <c r="C670" s="428"/>
      <c r="D670" s="428"/>
      <c r="E670" s="428"/>
      <c r="F670" s="428"/>
      <c r="G670" s="428"/>
      <c r="H670" s="428"/>
      <c r="I670" s="428"/>
      <c r="J670" s="428"/>
      <c r="K670" s="428"/>
      <c r="L670" s="428"/>
      <c r="M670" s="428"/>
    </row>
    <row r="671" spans="1:13" ht="12.75">
      <c r="A671" s="427"/>
      <c r="B671" s="428"/>
      <c r="C671" s="428"/>
      <c r="D671" s="428"/>
      <c r="E671" s="428"/>
      <c r="F671" s="428"/>
      <c r="G671" s="428"/>
      <c r="H671" s="428"/>
      <c r="I671" s="428"/>
      <c r="J671" s="428"/>
      <c r="K671" s="428"/>
      <c r="L671" s="428"/>
      <c r="M671" s="428"/>
    </row>
    <row r="672" spans="1:13" ht="12.75">
      <c r="A672" s="427"/>
      <c r="B672" s="428"/>
      <c r="C672" s="428"/>
      <c r="D672" s="428"/>
      <c r="E672" s="428"/>
      <c r="F672" s="428"/>
      <c r="G672" s="428"/>
      <c r="H672" s="428"/>
      <c r="I672" s="428"/>
      <c r="J672" s="428"/>
      <c r="K672" s="428"/>
      <c r="L672" s="428"/>
      <c r="M672" s="428"/>
    </row>
    <row r="673" spans="1:13" ht="12.75">
      <c r="A673" s="427"/>
      <c r="B673" s="428"/>
      <c r="C673" s="428"/>
      <c r="D673" s="428"/>
      <c r="E673" s="428"/>
      <c r="F673" s="428"/>
      <c r="G673" s="428"/>
      <c r="H673" s="428"/>
      <c r="I673" s="428"/>
      <c r="J673" s="428"/>
      <c r="K673" s="428"/>
      <c r="L673" s="428"/>
      <c r="M673" s="428"/>
    </row>
    <row r="674" spans="1:13" ht="12.75">
      <c r="A674" s="427"/>
      <c r="B674" s="428"/>
      <c r="C674" s="428"/>
      <c r="D674" s="428"/>
      <c r="E674" s="428"/>
      <c r="F674" s="428"/>
      <c r="G674" s="428"/>
      <c r="H674" s="428"/>
      <c r="I674" s="428"/>
      <c r="J674" s="428"/>
      <c r="K674" s="428"/>
      <c r="L674" s="428"/>
      <c r="M674" s="428"/>
    </row>
    <row r="675" spans="1:13" ht="12.75">
      <c r="A675" s="427"/>
      <c r="B675" s="428"/>
      <c r="C675" s="428"/>
      <c r="D675" s="428"/>
      <c r="E675" s="428"/>
      <c r="F675" s="428"/>
      <c r="G675" s="428"/>
      <c r="H675" s="428"/>
      <c r="I675" s="428"/>
      <c r="J675" s="428"/>
      <c r="K675" s="428"/>
      <c r="L675" s="428"/>
      <c r="M675" s="428"/>
    </row>
    <row r="676" spans="1:13" ht="12.75">
      <c r="A676" s="427"/>
      <c r="B676" s="428"/>
      <c r="C676" s="428"/>
      <c r="D676" s="428"/>
      <c r="E676" s="428"/>
      <c r="F676" s="428"/>
      <c r="G676" s="428"/>
      <c r="H676" s="428"/>
      <c r="I676" s="428"/>
      <c r="J676" s="428"/>
      <c r="K676" s="428"/>
      <c r="L676" s="428"/>
      <c r="M676" s="428"/>
    </row>
    <row r="677" spans="1:13" ht="12.75">
      <c r="A677" s="427"/>
      <c r="B677" s="428"/>
      <c r="C677" s="428"/>
      <c r="D677" s="428"/>
      <c r="E677" s="428"/>
      <c r="F677" s="428"/>
      <c r="G677" s="428"/>
      <c r="H677" s="428"/>
      <c r="I677" s="428"/>
      <c r="J677" s="428"/>
      <c r="K677" s="428"/>
      <c r="L677" s="428"/>
      <c r="M677" s="428"/>
    </row>
    <row r="678" spans="1:13" ht="12.75">
      <c r="A678" s="427"/>
      <c r="B678" s="428"/>
      <c r="C678" s="428"/>
      <c r="D678" s="428"/>
      <c r="E678" s="428"/>
      <c r="F678" s="428"/>
      <c r="G678" s="428"/>
      <c r="H678" s="428"/>
      <c r="I678" s="428"/>
      <c r="J678" s="428"/>
      <c r="K678" s="428"/>
      <c r="L678" s="428"/>
      <c r="M678" s="428"/>
    </row>
    <row r="679" spans="1:13" ht="12.75">
      <c r="A679" s="427"/>
      <c r="B679" s="428"/>
      <c r="C679" s="428"/>
      <c r="D679" s="428"/>
      <c r="E679" s="428"/>
      <c r="F679" s="428"/>
      <c r="G679" s="428"/>
      <c r="H679" s="428"/>
      <c r="I679" s="428"/>
      <c r="J679" s="428"/>
      <c r="K679" s="428"/>
      <c r="L679" s="428"/>
      <c r="M679" s="428"/>
    </row>
    <row r="680" spans="1:13" ht="12.75">
      <c r="A680" s="427"/>
      <c r="B680" s="428"/>
      <c r="C680" s="428"/>
      <c r="D680" s="428"/>
      <c r="E680" s="428"/>
      <c r="F680" s="428"/>
      <c r="G680" s="428"/>
      <c r="H680" s="428"/>
      <c r="I680" s="428"/>
      <c r="J680" s="428"/>
      <c r="K680" s="428"/>
      <c r="L680" s="428"/>
      <c r="M680" s="428"/>
    </row>
    <row r="681" spans="1:13" ht="12.75">
      <c r="A681" s="427"/>
      <c r="B681" s="428"/>
      <c r="C681" s="428"/>
      <c r="D681" s="428"/>
      <c r="E681" s="428"/>
      <c r="F681" s="428"/>
      <c r="G681" s="428"/>
      <c r="H681" s="428"/>
      <c r="I681" s="428"/>
      <c r="J681" s="428"/>
      <c r="K681" s="428"/>
      <c r="L681" s="428"/>
      <c r="M681" s="428"/>
    </row>
    <row r="682" spans="1:13" ht="12.75">
      <c r="A682" s="427"/>
      <c r="B682" s="428"/>
      <c r="C682" s="428"/>
      <c r="D682" s="428"/>
      <c r="E682" s="428"/>
      <c r="F682" s="428"/>
      <c r="G682" s="428"/>
      <c r="H682" s="428"/>
      <c r="I682" s="428"/>
      <c r="J682" s="428"/>
      <c r="K682" s="428"/>
      <c r="L682" s="428"/>
      <c r="M682" s="428"/>
    </row>
    <row r="683" spans="1:13" ht="12.75">
      <c r="A683" s="427"/>
      <c r="B683" s="428"/>
      <c r="C683" s="428"/>
      <c r="D683" s="428"/>
      <c r="E683" s="428"/>
      <c r="F683" s="428"/>
      <c r="G683" s="428"/>
      <c r="H683" s="428"/>
      <c r="I683" s="428"/>
      <c r="J683" s="428"/>
      <c r="K683" s="428"/>
      <c r="L683" s="428"/>
      <c r="M683" s="428"/>
    </row>
    <row r="684" spans="1:13" ht="12.75">
      <c r="A684" s="427"/>
      <c r="B684" s="428"/>
      <c r="C684" s="428"/>
      <c r="D684" s="428"/>
      <c r="E684" s="428"/>
      <c r="F684" s="428"/>
      <c r="G684" s="428"/>
      <c r="H684" s="428"/>
      <c r="I684" s="428"/>
      <c r="J684" s="428"/>
      <c r="K684" s="428"/>
      <c r="L684" s="428"/>
      <c r="M684" s="428"/>
    </row>
    <row r="685" spans="1:13" ht="12.75">
      <c r="A685" s="427"/>
      <c r="B685" s="428"/>
      <c r="C685" s="428"/>
      <c r="D685" s="428"/>
      <c r="E685" s="428"/>
      <c r="F685" s="428"/>
      <c r="G685" s="428"/>
      <c r="H685" s="428"/>
      <c r="I685" s="428"/>
      <c r="J685" s="428"/>
      <c r="K685" s="428"/>
      <c r="L685" s="428"/>
      <c r="M685" s="428"/>
    </row>
    <row r="686" spans="1:13" ht="12.75">
      <c r="A686" s="427"/>
      <c r="B686" s="428"/>
      <c r="C686" s="428"/>
      <c r="D686" s="428"/>
      <c r="E686" s="428"/>
      <c r="F686" s="428"/>
      <c r="G686" s="428"/>
      <c r="H686" s="428"/>
      <c r="I686" s="428"/>
      <c r="J686" s="428"/>
      <c r="K686" s="428"/>
      <c r="L686" s="428"/>
      <c r="M686" s="428"/>
    </row>
    <row r="687" spans="1:13" ht="12.75">
      <c r="A687" s="427"/>
      <c r="B687" s="428"/>
      <c r="C687" s="428"/>
      <c r="D687" s="428"/>
      <c r="E687" s="428"/>
      <c r="F687" s="428"/>
      <c r="G687" s="428"/>
      <c r="H687" s="428"/>
      <c r="I687" s="428"/>
      <c r="J687" s="428"/>
      <c r="K687" s="428"/>
      <c r="L687" s="428"/>
      <c r="M687" s="428"/>
    </row>
    <row r="688" spans="1:13" ht="12.75">
      <c r="A688" s="427"/>
      <c r="B688" s="428"/>
      <c r="C688" s="428"/>
      <c r="D688" s="428"/>
      <c r="E688" s="428"/>
      <c r="F688" s="428"/>
      <c r="G688" s="428"/>
      <c r="H688" s="428"/>
      <c r="I688" s="428"/>
      <c r="J688" s="428"/>
      <c r="K688" s="428"/>
      <c r="L688" s="428"/>
      <c r="M688" s="428"/>
    </row>
    <row r="689" spans="1:13" ht="12.75">
      <c r="A689" s="427"/>
      <c r="B689" s="428"/>
      <c r="C689" s="428"/>
      <c r="D689" s="428"/>
      <c r="E689" s="428"/>
      <c r="F689" s="428"/>
      <c r="G689" s="428"/>
      <c r="H689" s="428"/>
      <c r="I689" s="428"/>
      <c r="J689" s="428"/>
      <c r="K689" s="428"/>
      <c r="L689" s="428"/>
      <c r="M689" s="428"/>
    </row>
    <row r="690" spans="1:13" ht="12.75">
      <c r="A690" s="427"/>
      <c r="B690" s="428"/>
      <c r="C690" s="428"/>
      <c r="D690" s="428"/>
      <c r="E690" s="428"/>
      <c r="F690" s="428"/>
      <c r="G690" s="428"/>
      <c r="H690" s="428"/>
      <c r="I690" s="428"/>
      <c r="J690" s="428"/>
      <c r="K690" s="428"/>
      <c r="L690" s="428"/>
      <c r="M690" s="428"/>
    </row>
    <row r="691" spans="1:13" ht="12.75">
      <c r="A691" s="427"/>
      <c r="B691" s="428"/>
      <c r="C691" s="428"/>
      <c r="D691" s="428"/>
      <c r="E691" s="428"/>
      <c r="F691" s="428"/>
      <c r="G691" s="428"/>
      <c r="H691" s="428"/>
      <c r="I691" s="428"/>
      <c r="J691" s="428"/>
      <c r="K691" s="428"/>
      <c r="L691" s="428"/>
      <c r="M691" s="428"/>
    </row>
    <row r="692" spans="1:13" ht="12.75">
      <c r="A692" s="427"/>
      <c r="B692" s="428"/>
      <c r="C692" s="428"/>
      <c r="D692" s="428"/>
      <c r="E692" s="428"/>
      <c r="F692" s="428"/>
      <c r="G692" s="428"/>
      <c r="H692" s="428"/>
      <c r="I692" s="428"/>
      <c r="J692" s="428"/>
      <c r="K692" s="428"/>
      <c r="L692" s="428"/>
      <c r="M692" s="428"/>
    </row>
    <row r="693" spans="1:13" ht="12.75">
      <c r="A693" s="427"/>
      <c r="B693" s="428"/>
      <c r="C693" s="428"/>
      <c r="D693" s="428"/>
      <c r="E693" s="428"/>
      <c r="F693" s="428"/>
      <c r="G693" s="428"/>
      <c r="H693" s="428"/>
      <c r="I693" s="428"/>
      <c r="J693" s="428"/>
      <c r="K693" s="428"/>
      <c r="L693" s="428"/>
      <c r="M693" s="428"/>
    </row>
    <row r="694" spans="1:13" ht="12.75">
      <c r="A694" s="427"/>
      <c r="B694" s="428"/>
      <c r="C694" s="428"/>
      <c r="D694" s="428"/>
      <c r="E694" s="428"/>
      <c r="F694" s="428"/>
      <c r="G694" s="428"/>
      <c r="H694" s="428"/>
      <c r="I694" s="428"/>
      <c r="J694" s="428"/>
      <c r="K694" s="428"/>
      <c r="L694" s="428"/>
      <c r="M694" s="428"/>
    </row>
    <row r="695" spans="1:13" ht="12.75">
      <c r="A695" s="427"/>
      <c r="B695" s="428"/>
      <c r="C695" s="428"/>
      <c r="D695" s="428"/>
      <c r="E695" s="428"/>
      <c r="F695" s="428"/>
      <c r="G695" s="428"/>
      <c r="H695" s="428"/>
      <c r="I695" s="428"/>
      <c r="J695" s="428"/>
      <c r="K695" s="428"/>
      <c r="L695" s="428"/>
      <c r="M695" s="428"/>
    </row>
    <row r="696" spans="1:13" ht="12.75">
      <c r="A696" s="427"/>
      <c r="B696" s="428"/>
      <c r="C696" s="428"/>
      <c r="D696" s="428"/>
      <c r="E696" s="428"/>
      <c r="F696" s="428"/>
      <c r="G696" s="428"/>
      <c r="H696" s="428"/>
      <c r="I696" s="428"/>
      <c r="J696" s="428"/>
      <c r="K696" s="428"/>
      <c r="L696" s="428"/>
      <c r="M696" s="428"/>
    </row>
    <row r="697" spans="1:13" ht="12.75">
      <c r="A697" s="427"/>
      <c r="B697" s="428"/>
      <c r="C697" s="428"/>
      <c r="D697" s="428"/>
      <c r="E697" s="428"/>
      <c r="F697" s="428"/>
      <c r="G697" s="428"/>
      <c r="H697" s="428"/>
      <c r="I697" s="428"/>
      <c r="J697" s="428"/>
      <c r="K697" s="428"/>
      <c r="L697" s="428"/>
      <c r="M697" s="428"/>
    </row>
    <row r="698" spans="1:13" ht="12.75">
      <c r="A698" s="427"/>
      <c r="B698" s="428"/>
      <c r="C698" s="428"/>
      <c r="D698" s="428"/>
      <c r="E698" s="428"/>
      <c r="F698" s="428"/>
      <c r="G698" s="428"/>
      <c r="H698" s="428"/>
      <c r="I698" s="428"/>
      <c r="J698" s="428"/>
      <c r="K698" s="428"/>
      <c r="L698" s="428"/>
      <c r="M698" s="428"/>
    </row>
    <row r="699" spans="1:13" ht="12.75">
      <c r="A699" s="427"/>
      <c r="B699" s="428"/>
      <c r="C699" s="428"/>
      <c r="D699" s="428"/>
      <c r="E699" s="428"/>
      <c r="F699" s="428"/>
      <c r="G699" s="428"/>
      <c r="H699" s="428"/>
      <c r="I699" s="428"/>
      <c r="J699" s="428"/>
      <c r="K699" s="428"/>
      <c r="L699" s="428"/>
      <c r="M699" s="428"/>
    </row>
    <row r="700" spans="1:13" ht="12.75">
      <c r="A700" s="427"/>
      <c r="B700" s="428"/>
      <c r="C700" s="428"/>
      <c r="D700" s="428"/>
      <c r="E700" s="428"/>
      <c r="F700" s="428"/>
      <c r="G700" s="428"/>
      <c r="H700" s="428"/>
      <c r="I700" s="428"/>
      <c r="J700" s="428"/>
      <c r="K700" s="428"/>
      <c r="L700" s="428"/>
      <c r="M700" s="428"/>
    </row>
    <row r="701" spans="1:13" ht="12.75">
      <c r="A701" s="427"/>
      <c r="B701" s="428"/>
      <c r="C701" s="428"/>
      <c r="D701" s="428"/>
      <c r="E701" s="428"/>
      <c r="F701" s="428"/>
      <c r="G701" s="428"/>
      <c r="H701" s="428"/>
      <c r="I701" s="428"/>
      <c r="J701" s="428"/>
      <c r="K701" s="428"/>
      <c r="L701" s="428"/>
      <c r="M701" s="428"/>
    </row>
    <row r="702" spans="1:13" ht="12.75">
      <c r="A702" s="427"/>
      <c r="B702" s="428"/>
      <c r="C702" s="428"/>
      <c r="D702" s="428"/>
      <c r="E702" s="428"/>
      <c r="F702" s="428"/>
      <c r="G702" s="428"/>
      <c r="H702" s="428"/>
      <c r="I702" s="428"/>
      <c r="J702" s="428"/>
      <c r="K702" s="428"/>
      <c r="L702" s="428"/>
      <c r="M702" s="428"/>
    </row>
    <row r="703" spans="1:13" ht="12.75">
      <c r="A703" s="427"/>
      <c r="B703" s="428"/>
      <c r="C703" s="428"/>
      <c r="D703" s="428"/>
      <c r="E703" s="428"/>
      <c r="F703" s="428"/>
      <c r="G703" s="428"/>
      <c r="H703" s="428"/>
      <c r="I703" s="428"/>
      <c r="J703" s="428"/>
      <c r="K703" s="428"/>
      <c r="L703" s="428"/>
      <c r="M703" s="428"/>
    </row>
    <row r="704" spans="1:13" ht="12.75">
      <c r="A704" s="427"/>
      <c r="B704" s="428"/>
      <c r="C704" s="428"/>
      <c r="D704" s="428"/>
      <c r="E704" s="428"/>
      <c r="F704" s="428"/>
      <c r="G704" s="428"/>
      <c r="H704" s="428"/>
      <c r="I704" s="428"/>
      <c r="J704" s="428"/>
      <c r="K704" s="428"/>
      <c r="L704" s="428"/>
      <c r="M704" s="428"/>
    </row>
    <row r="705" spans="1:13" ht="12.75">
      <c r="A705" s="427"/>
      <c r="B705" s="428"/>
      <c r="C705" s="428"/>
      <c r="D705" s="428"/>
      <c r="E705" s="428"/>
      <c r="F705" s="428"/>
      <c r="G705" s="428"/>
      <c r="H705" s="428"/>
      <c r="I705" s="428"/>
      <c r="J705" s="428"/>
      <c r="K705" s="428"/>
      <c r="L705" s="428"/>
      <c r="M705" s="428"/>
    </row>
    <row r="706" spans="1:13" ht="12.75">
      <c r="A706" s="427"/>
      <c r="B706" s="428"/>
      <c r="C706" s="428"/>
      <c r="D706" s="428"/>
      <c r="E706" s="428"/>
      <c r="F706" s="428"/>
      <c r="G706" s="428"/>
      <c r="H706" s="428"/>
      <c r="I706" s="428"/>
      <c r="J706" s="428"/>
      <c r="K706" s="428"/>
      <c r="L706" s="428"/>
      <c r="M706" s="428"/>
    </row>
    <row r="707" spans="1:13" ht="12.75">
      <c r="A707" s="427"/>
      <c r="B707" s="428"/>
      <c r="C707" s="428"/>
      <c r="D707" s="428"/>
      <c r="E707" s="428"/>
      <c r="F707" s="428"/>
      <c r="G707" s="428"/>
      <c r="H707" s="428"/>
      <c r="I707" s="428"/>
      <c r="J707" s="428"/>
      <c r="K707" s="428"/>
      <c r="L707" s="428"/>
      <c r="M707" s="428"/>
    </row>
    <row r="708" spans="1:13" ht="12.75">
      <c r="A708" s="427"/>
      <c r="B708" s="428"/>
      <c r="C708" s="428"/>
      <c r="D708" s="428"/>
      <c r="E708" s="428"/>
      <c r="F708" s="428"/>
      <c r="G708" s="428"/>
      <c r="H708" s="428"/>
      <c r="I708" s="428"/>
      <c r="J708" s="428"/>
      <c r="K708" s="428"/>
      <c r="L708" s="428"/>
      <c r="M708" s="428"/>
    </row>
    <row r="709" spans="1:13" ht="12.75">
      <c r="A709" s="427"/>
      <c r="B709" s="428"/>
      <c r="C709" s="428"/>
      <c r="D709" s="428"/>
      <c r="E709" s="428"/>
      <c r="F709" s="428"/>
      <c r="G709" s="428"/>
      <c r="H709" s="428"/>
      <c r="I709" s="428"/>
      <c r="J709" s="428"/>
      <c r="K709" s="428"/>
      <c r="L709" s="428"/>
      <c r="M709" s="428"/>
    </row>
    <row r="710" spans="1:13" ht="12.75">
      <c r="A710" s="427"/>
      <c r="B710" s="428"/>
      <c r="C710" s="428"/>
      <c r="D710" s="428"/>
      <c r="E710" s="428"/>
      <c r="F710" s="428"/>
      <c r="G710" s="428"/>
      <c r="H710" s="428"/>
      <c r="I710" s="428"/>
      <c r="J710" s="428"/>
      <c r="K710" s="428"/>
      <c r="L710" s="428"/>
      <c r="M710" s="428"/>
    </row>
    <row r="711" spans="1:13" ht="12.75">
      <c r="A711" s="427"/>
      <c r="B711" s="428"/>
      <c r="C711" s="428"/>
      <c r="D711" s="428"/>
      <c r="E711" s="428"/>
      <c r="F711" s="428"/>
      <c r="G711" s="428"/>
      <c r="H711" s="428"/>
      <c r="I711" s="428"/>
      <c r="J711" s="428"/>
      <c r="K711" s="428"/>
      <c r="L711" s="428"/>
      <c r="M711" s="428"/>
    </row>
    <row r="712" spans="1:13" ht="12.75">
      <c r="A712" s="427"/>
      <c r="B712" s="428"/>
      <c r="C712" s="428"/>
      <c r="D712" s="428"/>
      <c r="E712" s="428"/>
      <c r="F712" s="428"/>
      <c r="G712" s="428"/>
      <c r="H712" s="428"/>
      <c r="I712" s="428"/>
      <c r="J712" s="428"/>
      <c r="K712" s="428"/>
      <c r="L712" s="428"/>
      <c r="M712" s="428"/>
    </row>
    <row r="713" spans="1:13" ht="12.75">
      <c r="A713" s="427"/>
      <c r="B713" s="428"/>
      <c r="C713" s="428"/>
      <c r="D713" s="428"/>
      <c r="E713" s="428"/>
      <c r="F713" s="428"/>
      <c r="G713" s="428"/>
      <c r="H713" s="428"/>
      <c r="I713" s="428"/>
      <c r="J713" s="428"/>
      <c r="K713" s="428"/>
      <c r="L713" s="428"/>
      <c r="M713" s="428"/>
    </row>
    <row r="714" spans="1:13" ht="12.75">
      <c r="A714" s="427"/>
      <c r="B714" s="428"/>
      <c r="C714" s="428"/>
      <c r="D714" s="428"/>
      <c r="E714" s="428"/>
      <c r="F714" s="429"/>
      <c r="G714" s="428"/>
      <c r="H714" s="428"/>
      <c r="I714" s="428"/>
      <c r="J714" s="428"/>
      <c r="K714" s="428"/>
      <c r="L714" s="428"/>
      <c r="M714" s="428"/>
    </row>
    <row r="715" spans="1:13" ht="12.75">
      <c r="A715" s="427"/>
      <c r="B715" s="428"/>
      <c r="C715" s="428"/>
      <c r="D715" s="428"/>
      <c r="E715" s="428"/>
      <c r="F715" s="429"/>
      <c r="G715" s="428"/>
      <c r="H715" s="428"/>
      <c r="I715" s="428"/>
      <c r="J715" s="428"/>
      <c r="K715" s="428"/>
      <c r="L715" s="428"/>
      <c r="M715" s="428"/>
    </row>
    <row r="716" spans="1:13" ht="12.75">
      <c r="A716" s="427"/>
      <c r="B716" s="428"/>
      <c r="C716" s="428"/>
      <c r="D716" s="428"/>
      <c r="E716" s="428"/>
      <c r="F716" s="429"/>
      <c r="G716" s="428"/>
      <c r="H716" s="428"/>
      <c r="I716" s="428"/>
      <c r="J716" s="428"/>
      <c r="K716" s="428"/>
      <c r="L716" s="428"/>
      <c r="M716" s="428"/>
    </row>
    <row r="717" spans="1:13" ht="12.75">
      <c r="A717" s="427"/>
      <c r="B717" s="428"/>
      <c r="C717" s="428"/>
      <c r="D717" s="428"/>
      <c r="E717" s="428"/>
      <c r="F717" s="429"/>
      <c r="G717" s="428"/>
      <c r="H717" s="428"/>
      <c r="I717" s="428"/>
      <c r="J717" s="428"/>
      <c r="K717" s="428"/>
      <c r="L717" s="428"/>
      <c r="M717" s="428"/>
    </row>
    <row r="718" spans="1:13" ht="12.75">
      <c r="A718" s="427"/>
      <c r="B718" s="428"/>
      <c r="C718" s="428"/>
      <c r="D718" s="428"/>
      <c r="E718" s="428"/>
      <c r="F718" s="429"/>
      <c r="G718" s="428"/>
      <c r="H718" s="428"/>
      <c r="I718" s="428"/>
      <c r="J718" s="428"/>
      <c r="K718" s="428"/>
      <c r="L718" s="428"/>
      <c r="M718" s="428"/>
    </row>
    <row r="719" spans="1:13" ht="12.75">
      <c r="A719" s="427"/>
      <c r="B719" s="428"/>
      <c r="C719" s="428"/>
      <c r="D719" s="428"/>
      <c r="E719" s="428"/>
      <c r="F719" s="429"/>
      <c r="G719" s="428"/>
      <c r="H719" s="428"/>
      <c r="I719" s="428"/>
      <c r="J719" s="428"/>
      <c r="K719" s="428"/>
      <c r="L719" s="428"/>
      <c r="M719" s="428"/>
    </row>
    <row r="720" spans="1:13" ht="12.75">
      <c r="A720" s="427"/>
      <c r="B720" s="428"/>
      <c r="C720" s="428"/>
      <c r="D720" s="428"/>
      <c r="E720" s="428"/>
      <c r="F720" s="429"/>
      <c r="G720" s="428"/>
      <c r="H720" s="428"/>
      <c r="I720" s="428"/>
      <c r="J720" s="428"/>
      <c r="K720" s="428"/>
      <c r="L720" s="428"/>
      <c r="M720" s="428"/>
    </row>
    <row r="721" spans="1:13" ht="12.75">
      <c r="A721" s="427"/>
      <c r="B721" s="428"/>
      <c r="C721" s="428"/>
      <c r="D721" s="428"/>
      <c r="E721" s="428"/>
      <c r="F721" s="429"/>
      <c r="G721" s="428"/>
      <c r="H721" s="428"/>
      <c r="I721" s="428"/>
      <c r="J721" s="428"/>
      <c r="K721" s="428"/>
      <c r="L721" s="428"/>
      <c r="M721" s="428"/>
    </row>
    <row r="722" spans="1:13" ht="12.75">
      <c r="A722" s="427"/>
      <c r="B722" s="428"/>
      <c r="C722" s="428"/>
      <c r="D722" s="428"/>
      <c r="E722" s="428"/>
      <c r="F722" s="429"/>
      <c r="G722" s="428"/>
      <c r="H722" s="428"/>
      <c r="I722" s="428"/>
      <c r="J722" s="428"/>
      <c r="K722" s="428"/>
      <c r="L722" s="428"/>
      <c r="M722" s="428"/>
    </row>
    <row r="723" spans="1:13" ht="12.75">
      <c r="A723" s="427"/>
      <c r="B723" s="428"/>
      <c r="C723" s="428"/>
      <c r="D723" s="428"/>
      <c r="E723" s="428"/>
      <c r="F723" s="429"/>
      <c r="G723" s="428"/>
      <c r="H723" s="428"/>
      <c r="I723" s="428"/>
      <c r="J723" s="428"/>
      <c r="K723" s="428"/>
      <c r="L723" s="428"/>
      <c r="M723" s="428"/>
    </row>
    <row r="724" spans="1:13" ht="12.75">
      <c r="A724" s="427"/>
      <c r="B724" s="428"/>
      <c r="C724" s="428"/>
      <c r="D724" s="428"/>
      <c r="E724" s="428"/>
      <c r="F724" s="429"/>
      <c r="G724" s="428"/>
      <c r="H724" s="428"/>
      <c r="I724" s="428"/>
      <c r="J724" s="428"/>
      <c r="K724" s="428"/>
      <c r="L724" s="428"/>
      <c r="M724" s="428"/>
    </row>
    <row r="725" spans="1:13" ht="12.75">
      <c r="A725" s="427"/>
      <c r="B725" s="428"/>
      <c r="C725" s="428"/>
      <c r="D725" s="428"/>
      <c r="E725" s="428"/>
      <c r="F725" s="429"/>
      <c r="G725" s="428"/>
      <c r="H725" s="428"/>
      <c r="I725" s="428"/>
      <c r="J725" s="428"/>
      <c r="K725" s="428"/>
      <c r="L725" s="428"/>
      <c r="M725" s="428"/>
    </row>
    <row r="726" spans="1:13" ht="12.75">
      <c r="A726" s="427"/>
      <c r="B726" s="428"/>
      <c r="C726" s="428"/>
      <c r="D726" s="428"/>
      <c r="E726" s="428"/>
      <c r="F726" s="429"/>
      <c r="G726" s="428"/>
      <c r="H726" s="428"/>
      <c r="I726" s="428"/>
      <c r="J726" s="428"/>
      <c r="K726" s="428"/>
      <c r="L726" s="428"/>
      <c r="M726" s="428"/>
    </row>
    <row r="727" spans="1:13" ht="12.75">
      <c r="A727" s="427"/>
      <c r="B727" s="428"/>
      <c r="C727" s="428"/>
      <c r="D727" s="428"/>
      <c r="E727" s="428"/>
      <c r="F727" s="429"/>
      <c r="G727" s="428"/>
      <c r="H727" s="428"/>
      <c r="I727" s="428"/>
      <c r="J727" s="428"/>
      <c r="K727" s="428"/>
      <c r="L727" s="428"/>
      <c r="M727" s="428"/>
    </row>
    <row r="728" spans="1:13" ht="12.75">
      <c r="A728" s="427"/>
      <c r="B728" s="428"/>
      <c r="C728" s="428"/>
      <c r="D728" s="428"/>
      <c r="E728" s="428"/>
      <c r="F728" s="429"/>
      <c r="G728" s="428"/>
      <c r="H728" s="428"/>
      <c r="I728" s="428"/>
      <c r="J728" s="428"/>
      <c r="K728" s="428"/>
      <c r="L728" s="428"/>
      <c r="M728" s="428"/>
    </row>
    <row r="729" spans="1:13" ht="12.75">
      <c r="A729" s="427"/>
      <c r="B729" s="428"/>
      <c r="C729" s="428"/>
      <c r="D729" s="428"/>
      <c r="E729" s="428"/>
      <c r="F729" s="429"/>
      <c r="G729" s="428"/>
      <c r="H729" s="428"/>
      <c r="I729" s="428"/>
      <c r="J729" s="428"/>
      <c r="K729" s="428"/>
      <c r="L729" s="428"/>
      <c r="M729" s="428"/>
    </row>
    <row r="730" spans="1:13" ht="12.75">
      <c r="A730" s="427"/>
      <c r="B730" s="428"/>
      <c r="C730" s="428"/>
      <c r="D730" s="428"/>
      <c r="E730" s="428"/>
      <c r="F730" s="429"/>
      <c r="G730" s="428"/>
      <c r="H730" s="428"/>
      <c r="I730" s="428"/>
      <c r="J730" s="428"/>
      <c r="K730" s="428"/>
      <c r="L730" s="428"/>
      <c r="M730" s="428"/>
    </row>
    <row r="731" spans="1:13" ht="12.75">
      <c r="A731" s="427"/>
      <c r="B731" s="428"/>
      <c r="C731" s="428"/>
      <c r="D731" s="428"/>
      <c r="E731" s="428"/>
      <c r="F731" s="429"/>
      <c r="G731" s="428"/>
      <c r="H731" s="428"/>
      <c r="I731" s="428"/>
      <c r="J731" s="428"/>
      <c r="K731" s="428"/>
      <c r="L731" s="428"/>
      <c r="M731" s="428"/>
    </row>
    <row r="732" spans="1:13" ht="12.75">
      <c r="A732" s="427"/>
      <c r="B732" s="428"/>
      <c r="C732" s="428"/>
      <c r="D732" s="428"/>
      <c r="E732" s="428"/>
      <c r="F732" s="429"/>
      <c r="G732" s="428"/>
      <c r="H732" s="428"/>
      <c r="I732" s="428"/>
      <c r="J732" s="428"/>
      <c r="K732" s="428"/>
      <c r="L732" s="428"/>
      <c r="M732" s="428"/>
    </row>
    <row r="733" spans="1:13" ht="12.75">
      <c r="A733" s="427"/>
      <c r="B733" s="428"/>
      <c r="C733" s="428"/>
      <c r="D733" s="428"/>
      <c r="E733" s="428"/>
      <c r="F733" s="429"/>
      <c r="G733" s="428"/>
      <c r="H733" s="428"/>
      <c r="I733" s="428"/>
      <c r="J733" s="428"/>
      <c r="K733" s="428"/>
      <c r="L733" s="428"/>
      <c r="M733" s="428"/>
    </row>
    <row r="734" spans="1:13" ht="12.75">
      <c r="A734" s="427"/>
      <c r="B734" s="428"/>
      <c r="C734" s="428"/>
      <c r="D734" s="428"/>
      <c r="E734" s="428"/>
      <c r="F734" s="429"/>
      <c r="G734" s="428"/>
      <c r="H734" s="428"/>
      <c r="I734" s="428"/>
      <c r="J734" s="428"/>
      <c r="K734" s="428"/>
      <c r="L734" s="428"/>
      <c r="M734" s="428"/>
    </row>
    <row r="735" spans="1:13" ht="12.75">
      <c r="A735" s="427"/>
      <c r="B735" s="428"/>
      <c r="C735" s="428"/>
      <c r="D735" s="428"/>
      <c r="E735" s="428"/>
      <c r="F735" s="429"/>
      <c r="G735" s="428"/>
      <c r="H735" s="428"/>
      <c r="I735" s="428"/>
      <c r="J735" s="428"/>
      <c r="K735" s="428"/>
      <c r="L735" s="428"/>
      <c r="M735" s="428"/>
    </row>
    <row r="736" spans="1:13" ht="12.75">
      <c r="A736" s="427"/>
      <c r="B736" s="428"/>
      <c r="C736" s="428"/>
      <c r="D736" s="428"/>
      <c r="E736" s="428"/>
      <c r="F736" s="429"/>
      <c r="G736" s="428"/>
      <c r="H736" s="428"/>
      <c r="I736" s="428"/>
      <c r="J736" s="428"/>
      <c r="K736" s="428"/>
      <c r="L736" s="428"/>
      <c r="M736" s="428"/>
    </row>
    <row r="737" spans="1:13" ht="12.75">
      <c r="A737" s="427"/>
      <c r="B737" s="428"/>
      <c r="C737" s="428"/>
      <c r="D737" s="428"/>
      <c r="E737" s="428"/>
      <c r="F737" s="429"/>
      <c r="G737" s="428"/>
      <c r="H737" s="428"/>
      <c r="I737" s="428"/>
      <c r="J737" s="428"/>
      <c r="K737" s="428"/>
      <c r="L737" s="428"/>
      <c r="M737" s="428"/>
    </row>
    <row r="738" spans="1:13" ht="12.75">
      <c r="A738" s="427"/>
      <c r="B738" s="428"/>
      <c r="C738" s="428"/>
      <c r="D738" s="428"/>
      <c r="E738" s="428"/>
      <c r="F738" s="429"/>
      <c r="G738" s="428"/>
      <c r="H738" s="428"/>
      <c r="I738" s="428"/>
      <c r="J738" s="428"/>
      <c r="K738" s="428"/>
      <c r="L738" s="428"/>
      <c r="M738" s="428"/>
    </row>
    <row r="739" spans="1:13" ht="12.75">
      <c r="A739" s="427"/>
      <c r="B739" s="428"/>
      <c r="C739" s="428"/>
      <c r="D739" s="428"/>
      <c r="E739" s="428"/>
      <c r="F739" s="429"/>
      <c r="G739" s="428"/>
      <c r="H739" s="428"/>
      <c r="I739" s="428"/>
      <c r="J739" s="428"/>
      <c r="K739" s="428"/>
      <c r="L739" s="428"/>
      <c r="M739" s="428"/>
    </row>
    <row r="740" spans="1:13" ht="12.75">
      <c r="A740" s="427"/>
      <c r="B740" s="428"/>
      <c r="C740" s="428"/>
      <c r="D740" s="428"/>
      <c r="E740" s="428"/>
      <c r="F740" s="429"/>
      <c r="G740" s="428"/>
      <c r="H740" s="428"/>
      <c r="I740" s="428"/>
      <c r="J740" s="428"/>
      <c r="K740" s="428"/>
      <c r="L740" s="428"/>
      <c r="M740" s="428"/>
    </row>
    <row r="741" spans="1:13" ht="12.75">
      <c r="A741" s="427"/>
      <c r="B741" s="428"/>
      <c r="C741" s="428"/>
      <c r="D741" s="428"/>
      <c r="E741" s="428"/>
      <c r="F741" s="429"/>
      <c r="G741" s="428"/>
      <c r="H741" s="428"/>
      <c r="I741" s="428"/>
      <c r="J741" s="428"/>
      <c r="K741" s="428"/>
      <c r="L741" s="428"/>
      <c r="M741" s="428"/>
    </row>
    <row r="742" spans="1:13" ht="12.75">
      <c r="A742" s="427"/>
      <c r="B742" s="428"/>
      <c r="C742" s="428"/>
      <c r="D742" s="428"/>
      <c r="E742" s="428"/>
      <c r="F742" s="429"/>
      <c r="G742" s="428"/>
      <c r="H742" s="428"/>
      <c r="I742" s="428"/>
      <c r="J742" s="428"/>
      <c r="K742" s="428"/>
      <c r="L742" s="428"/>
      <c r="M742" s="428"/>
    </row>
    <row r="743" spans="1:13" ht="12.75">
      <c r="A743" s="427"/>
      <c r="B743" s="428"/>
      <c r="C743" s="428"/>
      <c r="D743" s="428"/>
      <c r="E743" s="428"/>
      <c r="F743" s="429"/>
      <c r="G743" s="428"/>
      <c r="H743" s="428"/>
      <c r="I743" s="428"/>
      <c r="J743" s="428"/>
      <c r="K743" s="428"/>
      <c r="L743" s="428"/>
      <c r="M743" s="428"/>
    </row>
    <row r="744" spans="1:13" ht="12.75">
      <c r="A744" s="427"/>
      <c r="B744" s="428"/>
      <c r="C744" s="428"/>
      <c r="D744" s="428"/>
      <c r="E744" s="428"/>
      <c r="F744" s="429"/>
      <c r="G744" s="428"/>
      <c r="H744" s="428"/>
      <c r="I744" s="428"/>
      <c r="J744" s="428"/>
      <c r="K744" s="428"/>
      <c r="L744" s="428"/>
      <c r="M744" s="428"/>
    </row>
    <row r="745" spans="1:13" ht="12.75">
      <c r="A745" s="427"/>
      <c r="B745" s="428"/>
      <c r="C745" s="428"/>
      <c r="D745" s="428"/>
      <c r="E745" s="428"/>
      <c r="F745" s="429"/>
      <c r="G745" s="428"/>
      <c r="H745" s="428"/>
      <c r="I745" s="428"/>
      <c r="J745" s="428"/>
      <c r="K745" s="428"/>
      <c r="L745" s="428"/>
      <c r="M745" s="428"/>
    </row>
    <row r="746" spans="1:13" ht="12.75">
      <c r="A746" s="427"/>
      <c r="B746" s="428"/>
      <c r="C746" s="428"/>
      <c r="D746" s="428"/>
      <c r="E746" s="428"/>
      <c r="F746" s="429"/>
      <c r="G746" s="428"/>
      <c r="H746" s="428"/>
      <c r="I746" s="428"/>
      <c r="J746" s="428"/>
      <c r="K746" s="428"/>
      <c r="L746" s="428"/>
      <c r="M746" s="428"/>
    </row>
    <row r="747" spans="1:13" ht="12.75">
      <c r="A747" s="427"/>
      <c r="B747" s="428"/>
      <c r="C747" s="428"/>
      <c r="D747" s="428"/>
      <c r="E747" s="428"/>
      <c r="F747" s="429"/>
      <c r="G747" s="428"/>
      <c r="H747" s="428"/>
      <c r="I747" s="428"/>
      <c r="J747" s="428"/>
      <c r="K747" s="428"/>
      <c r="L747" s="428"/>
      <c r="M747" s="428"/>
    </row>
    <row r="748" spans="1:13" ht="12.75">
      <c r="A748" s="427"/>
      <c r="B748" s="428"/>
      <c r="C748" s="428"/>
      <c r="D748" s="428"/>
      <c r="E748" s="428"/>
      <c r="F748" s="429"/>
      <c r="G748" s="428"/>
      <c r="H748" s="428"/>
      <c r="I748" s="428"/>
      <c r="J748" s="428"/>
      <c r="K748" s="428"/>
      <c r="L748" s="428"/>
      <c r="M748" s="428"/>
    </row>
    <row r="749" spans="1:13" ht="12.75">
      <c r="A749" s="427"/>
      <c r="B749" s="428"/>
      <c r="C749" s="428"/>
      <c r="D749" s="428"/>
      <c r="E749" s="428"/>
      <c r="F749" s="429"/>
      <c r="G749" s="428"/>
      <c r="H749" s="428"/>
      <c r="I749" s="428"/>
      <c r="J749" s="428"/>
      <c r="K749" s="428"/>
      <c r="L749" s="428"/>
      <c r="M749" s="428"/>
    </row>
    <row r="750" spans="1:13" ht="12.75">
      <c r="A750" s="427"/>
      <c r="B750" s="428"/>
      <c r="C750" s="428"/>
      <c r="D750" s="428"/>
      <c r="E750" s="428"/>
      <c r="F750" s="429"/>
      <c r="G750" s="428"/>
      <c r="H750" s="428"/>
      <c r="I750" s="428"/>
      <c r="J750" s="428"/>
      <c r="K750" s="428"/>
      <c r="L750" s="428"/>
      <c r="M750" s="428"/>
    </row>
    <row r="751" spans="1:13" ht="12.75">
      <c r="A751" s="427"/>
      <c r="B751" s="428"/>
      <c r="C751" s="428"/>
      <c r="D751" s="428"/>
      <c r="E751" s="428"/>
      <c r="F751" s="429"/>
      <c r="G751" s="428"/>
      <c r="H751" s="428"/>
      <c r="I751" s="428"/>
      <c r="J751" s="428"/>
      <c r="K751" s="428"/>
      <c r="L751" s="428"/>
      <c r="M751" s="428"/>
    </row>
    <row r="752" spans="1:13" ht="12.75">
      <c r="A752" s="427"/>
      <c r="B752" s="428"/>
      <c r="C752" s="428"/>
      <c r="D752" s="428"/>
      <c r="E752" s="428"/>
      <c r="F752" s="429"/>
      <c r="G752" s="428"/>
      <c r="H752" s="428"/>
      <c r="I752" s="428"/>
      <c r="J752" s="428"/>
      <c r="K752" s="428"/>
      <c r="L752" s="428"/>
      <c r="M752" s="428"/>
    </row>
    <row r="753" spans="1:13" ht="12.75">
      <c r="A753" s="427"/>
      <c r="B753" s="428"/>
      <c r="C753" s="428"/>
      <c r="D753" s="428"/>
      <c r="E753" s="428"/>
      <c r="F753" s="429"/>
      <c r="G753" s="428"/>
      <c r="H753" s="428"/>
      <c r="I753" s="428"/>
      <c r="J753" s="428"/>
      <c r="K753" s="428"/>
      <c r="L753" s="428"/>
      <c r="M753" s="428"/>
    </row>
    <row r="754" spans="1:13" ht="12.75">
      <c r="A754" s="427"/>
      <c r="B754" s="428"/>
      <c r="C754" s="428"/>
      <c r="D754" s="428"/>
      <c r="E754" s="428"/>
      <c r="F754" s="429"/>
      <c r="G754" s="428"/>
      <c r="H754" s="428"/>
      <c r="I754" s="428"/>
      <c r="J754" s="428"/>
      <c r="K754" s="428"/>
      <c r="L754" s="428"/>
      <c r="M754" s="428"/>
    </row>
    <row r="755" spans="1:13" ht="12.75">
      <c r="A755" s="427"/>
      <c r="B755" s="428"/>
      <c r="C755" s="428"/>
      <c r="D755" s="428"/>
      <c r="E755" s="428"/>
      <c r="F755" s="429"/>
      <c r="G755" s="428"/>
      <c r="H755" s="428"/>
      <c r="I755" s="428"/>
      <c r="J755" s="428"/>
      <c r="K755" s="428"/>
      <c r="L755" s="428"/>
      <c r="M755" s="428"/>
    </row>
    <row r="756" spans="1:13" ht="12.75">
      <c r="A756" s="427"/>
      <c r="B756" s="428"/>
      <c r="C756" s="428"/>
      <c r="D756" s="428"/>
      <c r="E756" s="428"/>
      <c r="F756" s="429"/>
      <c r="G756" s="428"/>
      <c r="H756" s="428"/>
      <c r="I756" s="428"/>
      <c r="J756" s="428"/>
      <c r="K756" s="428"/>
      <c r="L756" s="428"/>
      <c r="M756" s="428"/>
    </row>
    <row r="757" spans="1:13" ht="12.75">
      <c r="A757" s="427"/>
      <c r="B757" s="428"/>
      <c r="C757" s="428"/>
      <c r="D757" s="428"/>
      <c r="E757" s="428"/>
      <c r="F757" s="429"/>
      <c r="G757" s="428"/>
      <c r="H757" s="428"/>
      <c r="I757" s="428"/>
      <c r="J757" s="428"/>
      <c r="K757" s="428"/>
      <c r="L757" s="428"/>
      <c r="M757" s="428"/>
    </row>
    <row r="758" spans="1:13" ht="12.75">
      <c r="A758" s="427"/>
      <c r="B758" s="428"/>
      <c r="C758" s="428"/>
      <c r="D758" s="428"/>
      <c r="E758" s="428"/>
      <c r="F758" s="429"/>
      <c r="G758" s="428"/>
      <c r="H758" s="428"/>
      <c r="I758" s="428"/>
      <c r="J758" s="428"/>
      <c r="K758" s="428"/>
      <c r="L758" s="428"/>
      <c r="M758" s="428"/>
    </row>
    <row r="759" spans="1:13" ht="12.75">
      <c r="A759" s="427"/>
      <c r="B759" s="428"/>
      <c r="C759" s="428"/>
      <c r="D759" s="428"/>
      <c r="E759" s="428"/>
      <c r="F759" s="429"/>
      <c r="G759" s="428"/>
      <c r="H759" s="428"/>
      <c r="I759" s="428"/>
      <c r="J759" s="428"/>
      <c r="K759" s="428"/>
      <c r="L759" s="428"/>
      <c r="M759" s="428"/>
    </row>
    <row r="760" spans="1:13" ht="12.75">
      <c r="A760" s="427"/>
      <c r="B760" s="428"/>
      <c r="C760" s="428"/>
      <c r="D760" s="428"/>
      <c r="E760" s="428"/>
      <c r="F760" s="429"/>
      <c r="G760" s="428"/>
      <c r="H760" s="428"/>
      <c r="I760" s="428"/>
      <c r="J760" s="428"/>
      <c r="K760" s="428"/>
      <c r="L760" s="428"/>
      <c r="M760" s="428"/>
    </row>
    <row r="761" spans="1:13" ht="12.75">
      <c r="A761" s="427"/>
      <c r="B761" s="428"/>
      <c r="C761" s="428"/>
      <c r="D761" s="428"/>
      <c r="E761" s="428"/>
      <c r="F761" s="429"/>
      <c r="G761" s="428"/>
      <c r="H761" s="428"/>
      <c r="I761" s="428"/>
      <c r="J761" s="428"/>
      <c r="K761" s="428"/>
      <c r="L761" s="428"/>
      <c r="M761" s="428"/>
    </row>
    <row r="762" spans="1:13" ht="12.75">
      <c r="A762" s="427"/>
      <c r="B762" s="428"/>
      <c r="C762" s="428"/>
      <c r="D762" s="428"/>
      <c r="E762" s="428"/>
      <c r="F762" s="429"/>
      <c r="G762" s="428"/>
      <c r="H762" s="428"/>
      <c r="I762" s="428"/>
      <c r="J762" s="428"/>
      <c r="K762" s="428"/>
      <c r="L762" s="428"/>
      <c r="M762" s="428"/>
    </row>
    <row r="763" spans="1:13" ht="12.75">
      <c r="A763" s="427"/>
      <c r="B763" s="428"/>
      <c r="C763" s="428"/>
      <c r="D763" s="428"/>
      <c r="E763" s="428"/>
      <c r="F763" s="429"/>
      <c r="G763" s="428"/>
      <c r="H763" s="428"/>
      <c r="I763" s="428"/>
      <c r="J763" s="428"/>
      <c r="K763" s="428"/>
      <c r="L763" s="428"/>
      <c r="M763" s="428"/>
    </row>
    <row r="764" spans="1:13" ht="12.75">
      <c r="A764" s="427"/>
      <c r="B764" s="428"/>
      <c r="C764" s="428"/>
      <c r="D764" s="428"/>
      <c r="E764" s="428"/>
      <c r="F764" s="429"/>
      <c r="G764" s="428"/>
      <c r="H764" s="428"/>
      <c r="I764" s="428"/>
      <c r="J764" s="428"/>
      <c r="K764" s="428"/>
      <c r="L764" s="428"/>
      <c r="M764" s="428"/>
    </row>
    <row r="765" spans="1:13" ht="12.75">
      <c r="A765" s="427"/>
      <c r="B765" s="428"/>
      <c r="C765" s="428"/>
      <c r="D765" s="428"/>
      <c r="E765" s="428"/>
      <c r="F765" s="429"/>
      <c r="G765" s="428"/>
      <c r="H765" s="428"/>
      <c r="I765" s="428"/>
      <c r="J765" s="428"/>
      <c r="K765" s="428"/>
      <c r="L765" s="428"/>
      <c r="M765" s="428"/>
    </row>
    <row r="766" spans="1:13" ht="12.75">
      <c r="A766" s="427"/>
      <c r="B766" s="428"/>
      <c r="C766" s="428"/>
      <c r="D766" s="428"/>
      <c r="E766" s="428"/>
      <c r="F766" s="429"/>
      <c r="G766" s="428"/>
      <c r="H766" s="428"/>
      <c r="I766" s="428"/>
      <c r="J766" s="428"/>
      <c r="K766" s="428"/>
      <c r="L766" s="428"/>
      <c r="M766" s="428"/>
    </row>
    <row r="767" spans="1:13" ht="12.75">
      <c r="A767" s="427"/>
      <c r="B767" s="428"/>
      <c r="C767" s="428"/>
      <c r="D767" s="428"/>
      <c r="E767" s="428"/>
      <c r="F767" s="429"/>
      <c r="G767" s="428"/>
      <c r="H767" s="428"/>
      <c r="I767" s="428"/>
      <c r="J767" s="428"/>
      <c r="K767" s="428"/>
      <c r="L767" s="428"/>
      <c r="M767" s="428"/>
    </row>
    <row r="768" spans="1:13" ht="12.75">
      <c r="A768" s="427"/>
      <c r="B768" s="428"/>
      <c r="C768" s="428"/>
      <c r="D768" s="428"/>
      <c r="E768" s="428"/>
      <c r="F768" s="429"/>
      <c r="G768" s="428"/>
      <c r="H768" s="428"/>
      <c r="I768" s="428"/>
      <c r="J768" s="428"/>
      <c r="K768" s="428"/>
      <c r="L768" s="428"/>
      <c r="M768" s="428"/>
    </row>
    <row r="769" spans="1:13" ht="12.75">
      <c r="A769" s="427"/>
      <c r="B769" s="428"/>
      <c r="C769" s="428"/>
      <c r="D769" s="428"/>
      <c r="E769" s="428"/>
      <c r="F769" s="429"/>
      <c r="G769" s="428"/>
      <c r="H769" s="428"/>
      <c r="I769" s="428"/>
      <c r="J769" s="428"/>
      <c r="K769" s="428"/>
      <c r="L769" s="428"/>
      <c r="M769" s="428"/>
    </row>
    <row r="770" spans="1:13" ht="12.75">
      <c r="A770" s="427"/>
      <c r="B770" s="428"/>
      <c r="C770" s="428"/>
      <c r="D770" s="428"/>
      <c r="E770" s="428"/>
      <c r="F770" s="429"/>
      <c r="G770" s="428"/>
      <c r="H770" s="428"/>
      <c r="I770" s="428"/>
      <c r="J770" s="428"/>
      <c r="K770" s="428"/>
      <c r="L770" s="428"/>
      <c r="M770" s="428"/>
    </row>
    <row r="771" spans="1:13" ht="12.75">
      <c r="A771" s="427"/>
      <c r="B771" s="428"/>
      <c r="C771" s="428"/>
      <c r="D771" s="428"/>
      <c r="E771" s="428"/>
      <c r="F771" s="429"/>
      <c r="G771" s="428"/>
      <c r="H771" s="428"/>
      <c r="I771" s="428"/>
      <c r="J771" s="428"/>
      <c r="K771" s="428"/>
      <c r="L771" s="428"/>
      <c r="M771" s="428"/>
    </row>
    <row r="772" spans="1:13" ht="12.75">
      <c r="A772" s="427"/>
      <c r="B772" s="428"/>
      <c r="C772" s="428"/>
      <c r="D772" s="428"/>
      <c r="E772" s="428"/>
      <c r="F772" s="429"/>
      <c r="G772" s="428"/>
      <c r="H772" s="428"/>
      <c r="I772" s="428"/>
      <c r="J772" s="428"/>
      <c r="K772" s="428"/>
      <c r="L772" s="428"/>
      <c r="M772" s="428"/>
    </row>
    <row r="773" spans="1:13" ht="12.75">
      <c r="A773" s="427"/>
      <c r="B773" s="428"/>
      <c r="C773" s="428"/>
      <c r="D773" s="428"/>
      <c r="E773" s="428"/>
      <c r="F773" s="429"/>
      <c r="G773" s="428"/>
      <c r="H773" s="428"/>
      <c r="I773" s="428"/>
      <c r="J773" s="428"/>
      <c r="K773" s="428"/>
      <c r="L773" s="428"/>
      <c r="M773" s="428"/>
    </row>
    <row r="774" spans="1:13" ht="12.75">
      <c r="A774" s="427"/>
      <c r="B774" s="428"/>
      <c r="C774" s="428"/>
      <c r="D774" s="428"/>
      <c r="E774" s="428"/>
      <c r="F774" s="429"/>
      <c r="G774" s="428"/>
      <c r="H774" s="428"/>
      <c r="I774" s="428"/>
      <c r="J774" s="428"/>
      <c r="K774" s="428"/>
      <c r="L774" s="428"/>
      <c r="M774" s="428"/>
    </row>
    <row r="775" spans="1:13" ht="12.75">
      <c r="A775" s="427"/>
      <c r="B775" s="428"/>
      <c r="C775" s="428"/>
      <c r="D775" s="428"/>
      <c r="E775" s="428"/>
      <c r="F775" s="429"/>
      <c r="G775" s="428"/>
      <c r="H775" s="428"/>
      <c r="I775" s="428"/>
      <c r="J775" s="428"/>
      <c r="K775" s="428"/>
      <c r="L775" s="428"/>
      <c r="M775" s="428"/>
    </row>
    <row r="776" spans="1:13" ht="12.75">
      <c r="A776" s="427"/>
      <c r="B776" s="428"/>
      <c r="C776" s="428"/>
      <c r="D776" s="428"/>
      <c r="E776" s="428"/>
      <c r="F776" s="429"/>
      <c r="G776" s="428"/>
      <c r="H776" s="428"/>
      <c r="I776" s="428"/>
      <c r="J776" s="428"/>
      <c r="K776" s="428"/>
      <c r="L776" s="428"/>
      <c r="M776" s="428"/>
    </row>
    <row r="777" spans="1:13" ht="12.75">
      <c r="A777" s="427"/>
      <c r="B777" s="428"/>
      <c r="C777" s="428"/>
      <c r="D777" s="428"/>
      <c r="E777" s="428"/>
      <c r="F777" s="429"/>
      <c r="G777" s="428"/>
      <c r="H777" s="428"/>
      <c r="I777" s="428"/>
      <c r="J777" s="428"/>
      <c r="K777" s="428"/>
      <c r="L777" s="428"/>
      <c r="M777" s="428"/>
    </row>
    <row r="778" spans="1:13" ht="12.75">
      <c r="A778" s="427"/>
      <c r="B778" s="428"/>
      <c r="C778" s="428"/>
      <c r="D778" s="428"/>
      <c r="E778" s="428"/>
      <c r="F778" s="429"/>
      <c r="G778" s="428"/>
      <c r="H778" s="428"/>
      <c r="I778" s="428"/>
      <c r="J778" s="428"/>
      <c r="K778" s="428"/>
      <c r="L778" s="428"/>
      <c r="M778" s="428"/>
    </row>
    <row r="779" spans="1:13" ht="12.75">
      <c r="A779" s="427"/>
      <c r="B779" s="428"/>
      <c r="C779" s="428"/>
      <c r="D779" s="428"/>
      <c r="E779" s="428"/>
      <c r="F779" s="429"/>
      <c r="G779" s="428"/>
      <c r="H779" s="428"/>
      <c r="I779" s="428"/>
      <c r="J779" s="428"/>
      <c r="K779" s="428"/>
      <c r="L779" s="428"/>
      <c r="M779" s="428"/>
    </row>
    <row r="780" spans="1:13" ht="12.75">
      <c r="A780" s="427"/>
      <c r="B780" s="428"/>
      <c r="C780" s="428"/>
      <c r="D780" s="428"/>
      <c r="E780" s="428"/>
      <c r="F780" s="429"/>
      <c r="G780" s="428"/>
      <c r="H780" s="428"/>
      <c r="I780" s="428"/>
      <c r="J780" s="428"/>
      <c r="K780" s="428"/>
      <c r="L780" s="428"/>
      <c r="M780" s="428"/>
    </row>
    <row r="781" spans="1:13" ht="12.75">
      <c r="A781" s="427"/>
      <c r="B781" s="428"/>
      <c r="C781" s="428"/>
      <c r="D781" s="428"/>
      <c r="E781" s="428"/>
      <c r="F781" s="429"/>
      <c r="G781" s="428"/>
      <c r="H781" s="428"/>
      <c r="I781" s="428"/>
      <c r="J781" s="428"/>
      <c r="K781" s="428"/>
      <c r="L781" s="428"/>
      <c r="M781" s="428"/>
    </row>
    <row r="782" spans="1:13" ht="12.75">
      <c r="A782" s="427"/>
      <c r="B782" s="428"/>
      <c r="C782" s="428"/>
      <c r="D782" s="428"/>
      <c r="E782" s="428"/>
      <c r="F782" s="429"/>
      <c r="G782" s="428"/>
      <c r="H782" s="428"/>
      <c r="I782" s="428"/>
      <c r="J782" s="428"/>
      <c r="K782" s="428"/>
      <c r="L782" s="428"/>
      <c r="M782" s="428"/>
    </row>
    <row r="783" spans="1:13" ht="12.75">
      <c r="A783" s="427"/>
      <c r="B783" s="428"/>
      <c r="C783" s="428"/>
      <c r="D783" s="428"/>
      <c r="E783" s="428"/>
      <c r="F783" s="429"/>
      <c r="G783" s="428"/>
      <c r="H783" s="428"/>
      <c r="I783" s="428"/>
      <c r="J783" s="428"/>
      <c r="K783" s="428"/>
      <c r="L783" s="428"/>
      <c r="M783" s="428"/>
    </row>
    <row r="784" spans="1:13" ht="12.75">
      <c r="A784" s="427"/>
      <c r="B784" s="428"/>
      <c r="C784" s="428"/>
      <c r="D784" s="428"/>
      <c r="E784" s="428"/>
      <c r="F784" s="429"/>
      <c r="G784" s="428"/>
      <c r="H784" s="428"/>
      <c r="I784" s="428"/>
      <c r="J784" s="428"/>
      <c r="K784" s="428"/>
      <c r="L784" s="428"/>
      <c r="M784" s="428"/>
    </row>
    <row r="785" spans="1:13" ht="12.75">
      <c r="A785" s="427"/>
      <c r="B785" s="428"/>
      <c r="C785" s="428"/>
      <c r="D785" s="428"/>
      <c r="E785" s="428"/>
      <c r="F785" s="429"/>
      <c r="G785" s="428"/>
      <c r="H785" s="428"/>
      <c r="I785" s="428"/>
      <c r="J785" s="428"/>
      <c r="K785" s="428"/>
      <c r="L785" s="428"/>
      <c r="M785" s="428"/>
    </row>
    <row r="786" spans="1:13" ht="12.75">
      <c r="A786" s="427"/>
      <c r="B786" s="428"/>
      <c r="C786" s="428"/>
      <c r="D786" s="428"/>
      <c r="E786" s="428"/>
      <c r="F786" s="429"/>
      <c r="G786" s="428"/>
      <c r="H786" s="428"/>
      <c r="I786" s="428"/>
      <c r="J786" s="428"/>
      <c r="K786" s="428"/>
      <c r="L786" s="428"/>
      <c r="M786" s="428"/>
    </row>
    <row r="787" spans="1:13" ht="12.75">
      <c r="A787" s="427"/>
      <c r="B787" s="428"/>
      <c r="C787" s="428"/>
      <c r="D787" s="428"/>
      <c r="E787" s="428"/>
      <c r="F787" s="429"/>
      <c r="G787" s="428"/>
      <c r="H787" s="428"/>
      <c r="I787" s="428"/>
      <c r="J787" s="428"/>
      <c r="K787" s="428"/>
      <c r="L787" s="428"/>
      <c r="M787" s="428"/>
    </row>
    <row r="788" spans="1:13" ht="12.75">
      <c r="A788" s="427"/>
      <c r="B788" s="428"/>
      <c r="C788" s="428"/>
      <c r="D788" s="428"/>
      <c r="E788" s="428"/>
      <c r="F788" s="429"/>
      <c r="G788" s="428"/>
      <c r="H788" s="428"/>
      <c r="I788" s="428"/>
      <c r="J788" s="428"/>
      <c r="K788" s="428"/>
      <c r="L788" s="428"/>
      <c r="M788" s="428"/>
    </row>
    <row r="789" spans="1:13" ht="12.75">
      <c r="A789" s="427"/>
      <c r="B789" s="428"/>
      <c r="C789" s="428"/>
      <c r="D789" s="428"/>
      <c r="E789" s="428"/>
      <c r="F789" s="429"/>
      <c r="G789" s="428"/>
      <c r="H789" s="428"/>
      <c r="I789" s="428"/>
      <c r="J789" s="428"/>
      <c r="K789" s="428"/>
      <c r="L789" s="428"/>
      <c r="M789" s="428"/>
    </row>
    <row r="790" spans="1:13" ht="12.75">
      <c r="A790" s="427"/>
      <c r="B790" s="428"/>
      <c r="C790" s="428"/>
      <c r="D790" s="428"/>
      <c r="E790" s="428"/>
      <c r="F790" s="429"/>
      <c r="G790" s="428"/>
      <c r="H790" s="428"/>
      <c r="I790" s="428"/>
      <c r="J790" s="428"/>
      <c r="K790" s="428"/>
      <c r="L790" s="428"/>
      <c r="M790" s="428"/>
    </row>
    <row r="791" spans="1:13" ht="12.75">
      <c r="A791" s="427"/>
      <c r="B791" s="428"/>
      <c r="C791" s="428"/>
      <c r="D791" s="428"/>
      <c r="E791" s="428"/>
      <c r="F791" s="429"/>
      <c r="G791" s="428"/>
      <c r="H791" s="428"/>
      <c r="I791" s="428"/>
      <c r="J791" s="428"/>
      <c r="K791" s="428"/>
      <c r="L791" s="428"/>
      <c r="M791" s="428"/>
    </row>
    <row r="792" spans="1:13" ht="12.75">
      <c r="A792" s="427"/>
      <c r="B792" s="428"/>
      <c r="C792" s="428"/>
      <c r="D792" s="428"/>
      <c r="E792" s="428"/>
      <c r="F792" s="429"/>
      <c r="G792" s="428"/>
      <c r="H792" s="428"/>
      <c r="I792" s="428"/>
      <c r="J792" s="428"/>
      <c r="K792" s="428"/>
      <c r="L792" s="428"/>
      <c r="M792" s="428"/>
    </row>
    <row r="793" spans="1:13" ht="12.75">
      <c r="A793" s="427"/>
      <c r="B793" s="428"/>
      <c r="C793" s="428"/>
      <c r="D793" s="428"/>
      <c r="E793" s="428"/>
      <c r="F793" s="429"/>
      <c r="G793" s="428"/>
      <c r="H793" s="428"/>
      <c r="I793" s="428"/>
      <c r="J793" s="428"/>
      <c r="K793" s="428"/>
      <c r="L793" s="428"/>
      <c r="M793" s="428"/>
    </row>
    <row r="794" spans="1:13" ht="12.75">
      <c r="A794" s="427"/>
      <c r="B794" s="428"/>
      <c r="C794" s="428"/>
      <c r="D794" s="428"/>
      <c r="E794" s="428"/>
      <c r="F794" s="429"/>
      <c r="G794" s="428"/>
      <c r="H794" s="428"/>
      <c r="I794" s="428"/>
      <c r="J794" s="428"/>
      <c r="K794" s="428"/>
      <c r="L794" s="428"/>
      <c r="M794" s="428"/>
    </row>
    <row r="795" spans="1:13" ht="12.75">
      <c r="A795" s="427"/>
      <c r="B795" s="428"/>
      <c r="C795" s="428"/>
      <c r="D795" s="428"/>
      <c r="E795" s="428"/>
      <c r="F795" s="429"/>
      <c r="G795" s="428"/>
      <c r="H795" s="428"/>
      <c r="I795" s="428"/>
      <c r="J795" s="428"/>
      <c r="K795" s="428"/>
      <c r="L795" s="428"/>
      <c r="M795" s="428"/>
    </row>
    <row r="796" spans="1:13" ht="12.75">
      <c r="A796" s="427"/>
      <c r="B796" s="428"/>
      <c r="C796" s="428"/>
      <c r="D796" s="428"/>
      <c r="E796" s="428"/>
      <c r="F796" s="429"/>
      <c r="G796" s="428"/>
      <c r="H796" s="428"/>
      <c r="I796" s="428"/>
      <c r="J796" s="428"/>
      <c r="K796" s="428"/>
      <c r="L796" s="428"/>
      <c r="M796" s="428"/>
    </row>
    <row r="797" spans="1:13" ht="12.75">
      <c r="A797" s="427"/>
      <c r="B797" s="428"/>
      <c r="C797" s="428"/>
      <c r="D797" s="428"/>
      <c r="E797" s="428"/>
      <c r="F797" s="429"/>
      <c r="G797" s="428"/>
      <c r="H797" s="428"/>
      <c r="I797" s="428"/>
      <c r="J797" s="428"/>
      <c r="K797" s="428"/>
      <c r="L797" s="428"/>
      <c r="M797" s="428"/>
    </row>
    <row r="798" spans="1:13" ht="12.75">
      <c r="A798" s="427"/>
      <c r="B798" s="428"/>
      <c r="C798" s="428"/>
      <c r="D798" s="428"/>
      <c r="E798" s="428"/>
      <c r="F798" s="429"/>
      <c r="G798" s="428"/>
      <c r="H798" s="428"/>
      <c r="I798" s="428"/>
      <c r="J798" s="428"/>
      <c r="K798" s="428"/>
      <c r="L798" s="428"/>
      <c r="M798" s="428"/>
    </row>
    <row r="799" spans="1:13" ht="12.75">
      <c r="A799" s="427"/>
      <c r="B799" s="428"/>
      <c r="C799" s="428"/>
      <c r="D799" s="428"/>
      <c r="E799" s="428"/>
      <c r="F799" s="429"/>
      <c r="G799" s="428"/>
      <c r="H799" s="428"/>
      <c r="I799" s="428"/>
      <c r="J799" s="428"/>
      <c r="K799" s="428"/>
      <c r="L799" s="428"/>
      <c r="M799" s="428"/>
    </row>
    <row r="800" spans="1:13" ht="12.75">
      <c r="A800" s="427"/>
      <c r="B800" s="428"/>
      <c r="C800" s="428"/>
      <c r="D800" s="428"/>
      <c r="E800" s="428"/>
      <c r="F800" s="429"/>
      <c r="G800" s="428"/>
      <c r="H800" s="428"/>
      <c r="I800" s="428"/>
      <c r="J800" s="428"/>
      <c r="K800" s="428"/>
      <c r="L800" s="428"/>
      <c r="M800" s="428"/>
    </row>
    <row r="801" spans="1:13" ht="12.75">
      <c r="A801" s="427"/>
      <c r="B801" s="428"/>
      <c r="C801" s="428"/>
      <c r="D801" s="428"/>
      <c r="E801" s="428"/>
      <c r="F801" s="429"/>
      <c r="G801" s="428"/>
      <c r="H801" s="428"/>
      <c r="I801" s="428"/>
      <c r="J801" s="428"/>
      <c r="K801" s="428"/>
      <c r="L801" s="428"/>
      <c r="M801" s="428"/>
    </row>
    <row r="802" spans="1:13" ht="12.75">
      <c r="A802" s="427"/>
      <c r="B802" s="428"/>
      <c r="C802" s="428"/>
      <c r="D802" s="428"/>
      <c r="E802" s="428"/>
      <c r="F802" s="429"/>
      <c r="G802" s="428"/>
      <c r="H802" s="428"/>
      <c r="I802" s="428"/>
      <c r="J802" s="428"/>
      <c r="K802" s="428"/>
      <c r="L802" s="428"/>
      <c r="M802" s="428"/>
    </row>
    <row r="803" spans="1:13" ht="12.75">
      <c r="A803" s="427"/>
      <c r="B803" s="428"/>
      <c r="C803" s="428"/>
      <c r="D803" s="428"/>
      <c r="E803" s="428"/>
      <c r="F803" s="429"/>
      <c r="G803" s="428"/>
      <c r="H803" s="428"/>
      <c r="I803" s="428"/>
      <c r="J803" s="428"/>
      <c r="K803" s="428"/>
      <c r="L803" s="428"/>
      <c r="M803" s="428"/>
    </row>
    <row r="804" spans="1:13" ht="12.75">
      <c r="A804" s="427"/>
      <c r="B804" s="428"/>
      <c r="C804" s="428"/>
      <c r="D804" s="428"/>
      <c r="E804" s="428"/>
      <c r="F804" s="429"/>
      <c r="G804" s="428"/>
      <c r="H804" s="428"/>
      <c r="I804" s="428"/>
      <c r="J804" s="428"/>
      <c r="K804" s="428"/>
      <c r="L804" s="428"/>
      <c r="M804" s="428"/>
    </row>
    <row r="805" spans="1:13" ht="12.75">
      <c r="A805" s="427"/>
      <c r="B805" s="428"/>
      <c r="C805" s="428"/>
      <c r="D805" s="428"/>
      <c r="E805" s="428"/>
      <c r="F805" s="429"/>
      <c r="G805" s="428"/>
      <c r="H805" s="428"/>
      <c r="I805" s="428"/>
      <c r="J805" s="428"/>
      <c r="K805" s="428"/>
      <c r="L805" s="428"/>
      <c r="M805" s="428"/>
    </row>
    <row r="806" spans="1:13" ht="12.75">
      <c r="A806" s="427"/>
      <c r="B806" s="428"/>
      <c r="C806" s="428"/>
      <c r="D806" s="428"/>
      <c r="E806" s="428"/>
      <c r="F806" s="429"/>
      <c r="G806" s="428"/>
      <c r="H806" s="428"/>
      <c r="I806" s="428"/>
      <c r="J806" s="428"/>
      <c r="K806" s="428"/>
      <c r="L806" s="428"/>
      <c r="M806" s="428"/>
    </row>
    <row r="807" spans="1:13" ht="12.75">
      <c r="A807" s="427"/>
      <c r="B807" s="428"/>
      <c r="C807" s="428"/>
      <c r="D807" s="428"/>
      <c r="E807" s="428"/>
      <c r="F807" s="429"/>
      <c r="G807" s="428"/>
      <c r="H807" s="428"/>
      <c r="I807" s="428"/>
      <c r="J807" s="428"/>
      <c r="K807" s="428"/>
      <c r="L807" s="428"/>
      <c r="M807" s="428"/>
    </row>
    <row r="808" spans="1:13" ht="12.75">
      <c r="A808" s="427"/>
      <c r="B808" s="428"/>
      <c r="C808" s="428"/>
      <c r="D808" s="428"/>
      <c r="E808" s="428"/>
      <c r="F808" s="429"/>
      <c r="G808" s="428"/>
      <c r="H808" s="428"/>
      <c r="I808" s="428"/>
      <c r="J808" s="428"/>
      <c r="K808" s="428"/>
      <c r="L808" s="428"/>
      <c r="M808" s="428"/>
    </row>
    <row r="809" spans="1:13" ht="12.75">
      <c r="A809" s="427"/>
      <c r="B809" s="428"/>
      <c r="C809" s="428"/>
      <c r="D809" s="428"/>
      <c r="E809" s="428"/>
      <c r="F809" s="429"/>
      <c r="G809" s="428"/>
      <c r="H809" s="428"/>
      <c r="I809" s="428"/>
      <c r="J809" s="428"/>
      <c r="K809" s="428"/>
      <c r="L809" s="428"/>
      <c r="M809" s="428"/>
    </row>
    <row r="810" spans="1:13" ht="12.75">
      <c r="A810" s="427"/>
      <c r="B810" s="428"/>
      <c r="C810" s="428"/>
      <c r="D810" s="428"/>
      <c r="E810" s="428"/>
      <c r="F810" s="429"/>
      <c r="G810" s="428"/>
      <c r="H810" s="428"/>
      <c r="I810" s="428"/>
      <c r="J810" s="428"/>
      <c r="K810" s="428"/>
      <c r="L810" s="428"/>
      <c r="M810" s="428"/>
    </row>
    <row r="811" spans="1:13" ht="12.75">
      <c r="A811" s="427"/>
      <c r="B811" s="428"/>
      <c r="C811" s="428"/>
      <c r="D811" s="428"/>
      <c r="E811" s="428"/>
      <c r="F811" s="429"/>
      <c r="G811" s="428"/>
      <c r="H811" s="428"/>
      <c r="I811" s="428"/>
      <c r="J811" s="428"/>
      <c r="K811" s="428"/>
      <c r="L811" s="428"/>
      <c r="M811" s="428"/>
    </row>
    <row r="812" spans="1:13" ht="12.75">
      <c r="A812" s="427"/>
      <c r="B812" s="428"/>
      <c r="C812" s="428"/>
      <c r="D812" s="428"/>
      <c r="E812" s="428"/>
      <c r="F812" s="429"/>
      <c r="G812" s="428"/>
      <c r="H812" s="428"/>
      <c r="I812" s="428"/>
      <c r="J812" s="428"/>
      <c r="K812" s="428"/>
      <c r="L812" s="428"/>
      <c r="M812" s="428"/>
    </row>
    <row r="813" spans="1:13" ht="12.75">
      <c r="A813" s="427"/>
      <c r="B813" s="428"/>
      <c r="C813" s="428"/>
      <c r="D813" s="428"/>
      <c r="E813" s="428"/>
      <c r="F813" s="429"/>
      <c r="G813" s="428"/>
      <c r="H813" s="428"/>
      <c r="I813" s="428"/>
      <c r="J813" s="428"/>
      <c r="K813" s="428"/>
      <c r="L813" s="428"/>
      <c r="M813" s="428"/>
    </row>
    <row r="814" spans="1:13" ht="12.75">
      <c r="A814" s="427"/>
      <c r="B814" s="428"/>
      <c r="C814" s="428"/>
      <c r="D814" s="428"/>
      <c r="E814" s="428"/>
      <c r="F814" s="429"/>
      <c r="G814" s="428"/>
      <c r="H814" s="428"/>
      <c r="I814" s="428"/>
      <c r="J814" s="428"/>
      <c r="K814" s="428"/>
      <c r="L814" s="428"/>
      <c r="M814" s="428"/>
    </row>
    <row r="815" spans="1:13" ht="12.75">
      <c r="A815" s="427"/>
      <c r="B815" s="428"/>
      <c r="C815" s="428"/>
      <c r="D815" s="428"/>
      <c r="E815" s="428"/>
      <c r="F815" s="429"/>
      <c r="G815" s="428"/>
      <c r="H815" s="428"/>
      <c r="I815" s="428"/>
      <c r="J815" s="428"/>
      <c r="K815" s="428"/>
      <c r="L815" s="428"/>
      <c r="M815" s="428"/>
    </row>
    <row r="816" spans="1:13" ht="12.75">
      <c r="A816" s="427"/>
      <c r="B816" s="428"/>
      <c r="C816" s="428"/>
      <c r="D816" s="428"/>
      <c r="E816" s="428"/>
      <c r="F816" s="429"/>
      <c r="G816" s="428"/>
      <c r="H816" s="428"/>
      <c r="I816" s="428"/>
      <c r="J816" s="428"/>
      <c r="K816" s="428"/>
      <c r="L816" s="428"/>
      <c r="M816" s="428"/>
    </row>
    <row r="817" spans="1:13" ht="12.75">
      <c r="A817" s="427"/>
      <c r="B817" s="428"/>
      <c r="C817" s="428"/>
      <c r="D817" s="428"/>
      <c r="E817" s="428"/>
      <c r="F817" s="429"/>
      <c r="G817" s="428"/>
      <c r="H817" s="428"/>
      <c r="I817" s="428"/>
      <c r="J817" s="428"/>
      <c r="K817" s="428"/>
      <c r="L817" s="428"/>
      <c r="M817" s="428"/>
    </row>
    <row r="818" spans="1:13" ht="12.75">
      <c r="A818" s="427"/>
      <c r="B818" s="428"/>
      <c r="C818" s="428"/>
      <c r="D818" s="428"/>
      <c r="E818" s="428"/>
      <c r="F818" s="429"/>
      <c r="G818" s="428"/>
      <c r="H818" s="428"/>
      <c r="I818" s="428"/>
      <c r="J818" s="428"/>
      <c r="K818" s="428"/>
      <c r="L818" s="428"/>
      <c r="M818" s="428"/>
    </row>
    <row r="819" spans="1:13" ht="12.75">
      <c r="A819" s="427"/>
      <c r="B819" s="428"/>
      <c r="C819" s="428"/>
      <c r="D819" s="428"/>
      <c r="E819" s="428"/>
      <c r="F819" s="429"/>
      <c r="G819" s="428"/>
      <c r="H819" s="428"/>
      <c r="I819" s="428"/>
      <c r="J819" s="428"/>
      <c r="K819" s="428"/>
      <c r="L819" s="428"/>
      <c r="M819" s="428"/>
    </row>
    <row r="820" spans="1:13" ht="12.75">
      <c r="A820" s="427"/>
      <c r="B820" s="428"/>
      <c r="C820" s="428"/>
      <c r="D820" s="428"/>
      <c r="E820" s="428"/>
      <c r="F820" s="429"/>
      <c r="G820" s="428"/>
      <c r="H820" s="428"/>
      <c r="I820" s="428"/>
      <c r="J820" s="428"/>
      <c r="K820" s="428"/>
      <c r="L820" s="428"/>
      <c r="M820" s="428"/>
    </row>
    <row r="821" spans="1:13" ht="12.75">
      <c r="A821" s="427"/>
      <c r="B821" s="428"/>
      <c r="C821" s="428"/>
      <c r="D821" s="428"/>
      <c r="E821" s="428"/>
      <c r="F821" s="429"/>
      <c r="G821" s="428"/>
      <c r="H821" s="428"/>
      <c r="I821" s="428"/>
      <c r="J821" s="428"/>
      <c r="K821" s="428"/>
      <c r="L821" s="428"/>
      <c r="M821" s="428"/>
    </row>
    <row r="822" spans="1:13" ht="12.75">
      <c r="A822" s="427"/>
      <c r="B822" s="428"/>
      <c r="C822" s="428"/>
      <c r="D822" s="428"/>
      <c r="E822" s="428"/>
      <c r="F822" s="429"/>
      <c r="G822" s="428"/>
      <c r="H822" s="428"/>
      <c r="I822" s="428"/>
      <c r="J822" s="428"/>
      <c r="K822" s="428"/>
      <c r="L822" s="428"/>
      <c r="M822" s="428"/>
    </row>
    <row r="823" spans="1:13" ht="12.75">
      <c r="A823" s="427"/>
      <c r="B823" s="428"/>
      <c r="C823" s="428"/>
      <c r="D823" s="428"/>
      <c r="E823" s="428"/>
      <c r="F823" s="429"/>
      <c r="G823" s="428"/>
      <c r="H823" s="428"/>
      <c r="I823" s="428"/>
      <c r="J823" s="428"/>
      <c r="K823" s="428"/>
      <c r="L823" s="428"/>
      <c r="M823" s="428"/>
    </row>
    <row r="824" spans="1:13" ht="12.75">
      <c r="A824" s="427"/>
      <c r="B824" s="428"/>
      <c r="C824" s="428"/>
      <c r="D824" s="428"/>
      <c r="E824" s="428"/>
      <c r="F824" s="429"/>
      <c r="G824" s="428"/>
      <c r="H824" s="428"/>
      <c r="I824" s="428"/>
      <c r="J824" s="428"/>
      <c r="K824" s="428"/>
      <c r="L824" s="428"/>
      <c r="M824" s="428"/>
    </row>
    <row r="825" spans="1:13" ht="12.75">
      <c r="A825" s="427"/>
      <c r="B825" s="428"/>
      <c r="C825" s="428"/>
      <c r="D825" s="428"/>
      <c r="E825" s="428"/>
      <c r="F825" s="429"/>
      <c r="G825" s="428"/>
      <c r="H825" s="428"/>
      <c r="I825" s="428"/>
      <c r="J825" s="428"/>
      <c r="K825" s="428"/>
      <c r="L825" s="428"/>
      <c r="M825" s="428"/>
    </row>
    <row r="826" spans="1:13" ht="12.75">
      <c r="A826" s="427"/>
      <c r="B826" s="428"/>
      <c r="C826" s="428"/>
      <c r="D826" s="428"/>
      <c r="E826" s="428"/>
      <c r="F826" s="429"/>
      <c r="G826" s="428"/>
      <c r="H826" s="428"/>
      <c r="I826" s="428"/>
      <c r="J826" s="428"/>
      <c r="K826" s="428"/>
      <c r="L826" s="428"/>
      <c r="M826" s="428"/>
    </row>
    <row r="827" spans="1:13" ht="12.75">
      <c r="A827" s="427"/>
      <c r="B827" s="428"/>
      <c r="C827" s="428"/>
      <c r="D827" s="428"/>
      <c r="E827" s="428"/>
      <c r="F827" s="429"/>
      <c r="G827" s="428"/>
      <c r="H827" s="428"/>
      <c r="I827" s="428"/>
      <c r="J827" s="428"/>
      <c r="K827" s="428"/>
      <c r="L827" s="428"/>
      <c r="M827" s="428"/>
    </row>
    <row r="828" spans="1:13" ht="12.75">
      <c r="A828" s="427"/>
      <c r="B828" s="428"/>
      <c r="C828" s="428"/>
      <c r="D828" s="428"/>
      <c r="E828" s="428"/>
      <c r="F828" s="429"/>
      <c r="G828" s="428"/>
      <c r="H828" s="428"/>
      <c r="I828" s="428"/>
      <c r="J828" s="428"/>
      <c r="K828" s="428"/>
      <c r="L828" s="428"/>
      <c r="M828" s="428"/>
    </row>
    <row r="829" spans="1:13" ht="12.75">
      <c r="A829" s="427"/>
      <c r="B829" s="428"/>
      <c r="C829" s="428"/>
      <c r="D829" s="428"/>
      <c r="E829" s="428"/>
      <c r="F829" s="429"/>
      <c r="G829" s="428"/>
      <c r="H829" s="428"/>
      <c r="I829" s="428"/>
      <c r="J829" s="428"/>
      <c r="K829" s="428"/>
      <c r="L829" s="428"/>
      <c r="M829" s="428"/>
    </row>
    <row r="830" spans="1:13" ht="12.75">
      <c r="A830" s="427"/>
      <c r="B830" s="428"/>
      <c r="C830" s="428"/>
      <c r="D830" s="428"/>
      <c r="E830" s="428"/>
      <c r="F830" s="429"/>
      <c r="G830" s="428"/>
      <c r="H830" s="428"/>
      <c r="I830" s="428"/>
      <c r="J830" s="428"/>
      <c r="K830" s="428"/>
      <c r="L830" s="428"/>
      <c r="M830" s="428"/>
    </row>
    <row r="831" spans="1:13" ht="12.75">
      <c r="A831" s="427"/>
      <c r="B831" s="428"/>
      <c r="C831" s="428"/>
      <c r="D831" s="428"/>
      <c r="E831" s="428"/>
      <c r="F831" s="429"/>
      <c r="G831" s="428"/>
      <c r="H831" s="428"/>
      <c r="I831" s="428"/>
      <c r="J831" s="428"/>
      <c r="K831" s="428"/>
      <c r="L831" s="428"/>
      <c r="M831" s="428"/>
    </row>
    <row r="832" spans="1:13" ht="12.75">
      <c r="A832" s="427"/>
      <c r="B832" s="428"/>
      <c r="C832" s="428"/>
      <c r="D832" s="428"/>
      <c r="E832" s="428"/>
      <c r="F832" s="429"/>
      <c r="G832" s="428"/>
      <c r="H832" s="428"/>
      <c r="I832" s="428"/>
      <c r="J832" s="428"/>
      <c r="K832" s="428"/>
      <c r="L832" s="428"/>
      <c r="M832" s="428"/>
    </row>
    <row r="833" spans="1:13" ht="12.75">
      <c r="A833" s="427"/>
      <c r="B833" s="428"/>
      <c r="C833" s="428"/>
      <c r="D833" s="428"/>
      <c r="E833" s="428"/>
      <c r="F833" s="429"/>
      <c r="G833" s="428"/>
      <c r="H833" s="428"/>
      <c r="I833" s="428"/>
      <c r="J833" s="428"/>
      <c r="K833" s="428"/>
      <c r="L833" s="428"/>
      <c r="M833" s="428"/>
    </row>
    <row r="834" spans="1:13" ht="12.75">
      <c r="A834" s="427"/>
      <c r="B834" s="428"/>
      <c r="C834" s="428"/>
      <c r="D834" s="428"/>
      <c r="E834" s="428"/>
      <c r="F834" s="429"/>
      <c r="G834" s="428"/>
      <c r="H834" s="428"/>
      <c r="I834" s="428"/>
      <c r="J834" s="428"/>
      <c r="K834" s="428"/>
      <c r="L834" s="428"/>
      <c r="M834" s="428"/>
    </row>
    <row r="835" spans="1:13" ht="12.75">
      <c r="A835" s="427"/>
      <c r="B835" s="428"/>
      <c r="C835" s="428"/>
      <c r="D835" s="428"/>
      <c r="E835" s="428"/>
      <c r="F835" s="429"/>
      <c r="G835" s="428"/>
      <c r="H835" s="428"/>
      <c r="I835" s="428"/>
      <c r="J835" s="428"/>
      <c r="K835" s="428"/>
      <c r="L835" s="428"/>
      <c r="M835" s="428"/>
    </row>
    <row r="836" spans="1:13" ht="12.75">
      <c r="A836" s="427"/>
      <c r="B836" s="428"/>
      <c r="C836" s="428"/>
      <c r="D836" s="428"/>
      <c r="E836" s="428"/>
      <c r="F836" s="429"/>
      <c r="G836" s="428"/>
      <c r="H836" s="428"/>
      <c r="I836" s="428"/>
      <c r="J836" s="428"/>
      <c r="K836" s="428"/>
      <c r="L836" s="428"/>
      <c r="M836" s="428"/>
    </row>
    <row r="837" spans="1:13" ht="12.75">
      <c r="A837" s="427"/>
      <c r="B837" s="428"/>
      <c r="C837" s="428"/>
      <c r="D837" s="428"/>
      <c r="E837" s="428"/>
      <c r="F837" s="429"/>
      <c r="G837" s="428"/>
      <c r="H837" s="428"/>
      <c r="I837" s="428"/>
      <c r="J837" s="428"/>
      <c r="K837" s="428"/>
      <c r="L837" s="428"/>
      <c r="M837" s="428"/>
    </row>
    <row r="838" spans="1:13" ht="12.75">
      <c r="A838" s="427"/>
      <c r="B838" s="428"/>
      <c r="C838" s="428"/>
      <c r="D838" s="428"/>
      <c r="E838" s="428"/>
      <c r="F838" s="429"/>
      <c r="G838" s="428"/>
      <c r="H838" s="428"/>
      <c r="I838" s="428"/>
      <c r="J838" s="428"/>
      <c r="K838" s="428"/>
      <c r="L838" s="428"/>
      <c r="M838" s="428"/>
    </row>
    <row r="839" spans="1:13" ht="12.75">
      <c r="A839" s="427"/>
      <c r="B839" s="428"/>
      <c r="C839" s="428"/>
      <c r="D839" s="428"/>
      <c r="E839" s="428"/>
      <c r="F839" s="429"/>
      <c r="G839" s="428"/>
      <c r="H839" s="428"/>
      <c r="I839" s="428"/>
      <c r="J839" s="428"/>
      <c r="K839" s="428"/>
      <c r="L839" s="428"/>
      <c r="M839" s="428"/>
    </row>
    <row r="840" spans="1:13" ht="12.75">
      <c r="A840" s="427"/>
      <c r="B840" s="428"/>
      <c r="C840" s="428"/>
      <c r="D840" s="428"/>
      <c r="E840" s="428"/>
      <c r="F840" s="429"/>
      <c r="G840" s="428"/>
      <c r="H840" s="428"/>
      <c r="I840" s="428"/>
      <c r="J840" s="428"/>
      <c r="K840" s="428"/>
      <c r="L840" s="428"/>
      <c r="M840" s="428"/>
    </row>
    <row r="841" spans="1:13" ht="12.75">
      <c r="A841" s="427"/>
      <c r="B841" s="428"/>
      <c r="C841" s="428"/>
      <c r="D841" s="428"/>
      <c r="E841" s="428"/>
      <c r="F841" s="429"/>
      <c r="G841" s="428"/>
      <c r="H841" s="428"/>
      <c r="I841" s="428"/>
      <c r="J841" s="428"/>
      <c r="K841" s="428"/>
      <c r="L841" s="428"/>
      <c r="M841" s="428"/>
    </row>
    <row r="842" spans="1:13" ht="12.75">
      <c r="A842" s="427"/>
      <c r="B842" s="428"/>
      <c r="C842" s="428"/>
      <c r="D842" s="428"/>
      <c r="E842" s="428"/>
      <c r="F842" s="429"/>
      <c r="G842" s="428"/>
      <c r="H842" s="428"/>
      <c r="I842" s="428"/>
      <c r="J842" s="428"/>
      <c r="K842" s="428"/>
      <c r="L842" s="428"/>
      <c r="M842" s="428"/>
    </row>
    <row r="843" spans="1:13" ht="12.75">
      <c r="A843" s="427"/>
      <c r="B843" s="428"/>
      <c r="C843" s="428"/>
      <c r="D843" s="428"/>
      <c r="E843" s="428"/>
      <c r="F843" s="429"/>
      <c r="G843" s="428"/>
      <c r="H843" s="428"/>
      <c r="I843" s="428"/>
      <c r="J843" s="428"/>
      <c r="K843" s="428"/>
      <c r="L843" s="428"/>
      <c r="M843" s="428"/>
    </row>
    <row r="844" spans="1:13" ht="12.75">
      <c r="A844" s="427"/>
      <c r="B844" s="428"/>
      <c r="C844" s="428"/>
      <c r="D844" s="428"/>
      <c r="E844" s="428"/>
      <c r="F844" s="429"/>
      <c r="G844" s="428"/>
      <c r="H844" s="428"/>
      <c r="I844" s="428"/>
      <c r="J844" s="428"/>
      <c r="K844" s="428"/>
      <c r="L844" s="428"/>
      <c r="M844" s="428"/>
    </row>
    <row r="845" spans="1:13" ht="12.75">
      <c r="A845" s="427"/>
      <c r="B845" s="428"/>
      <c r="C845" s="428"/>
      <c r="D845" s="428"/>
      <c r="E845" s="428"/>
      <c r="F845" s="429"/>
      <c r="G845" s="428"/>
      <c r="H845" s="428"/>
      <c r="I845" s="428"/>
      <c r="J845" s="428"/>
      <c r="K845" s="428"/>
      <c r="L845" s="428"/>
      <c r="M845" s="428"/>
    </row>
    <row r="846" spans="1:13" ht="12.75">
      <c r="A846" s="427"/>
      <c r="B846" s="428"/>
      <c r="C846" s="428"/>
      <c r="D846" s="428"/>
      <c r="E846" s="428"/>
      <c r="F846" s="429"/>
      <c r="G846" s="428"/>
      <c r="H846" s="428"/>
      <c r="I846" s="428"/>
      <c r="J846" s="428"/>
      <c r="K846" s="428"/>
      <c r="L846" s="428"/>
      <c r="M846" s="428"/>
    </row>
    <row r="847" spans="1:13" ht="12.75">
      <c r="A847" s="427"/>
      <c r="B847" s="428"/>
      <c r="C847" s="428"/>
      <c r="D847" s="428"/>
      <c r="E847" s="428"/>
      <c r="F847" s="429"/>
      <c r="G847" s="428"/>
      <c r="H847" s="428"/>
      <c r="I847" s="428"/>
      <c r="J847" s="428"/>
      <c r="K847" s="428"/>
      <c r="L847" s="428"/>
      <c r="M847" s="428"/>
    </row>
    <row r="848" spans="1:13" ht="12.75">
      <c r="A848" s="427"/>
      <c r="B848" s="428"/>
      <c r="C848" s="428"/>
      <c r="D848" s="428"/>
      <c r="E848" s="428"/>
      <c r="F848" s="429"/>
      <c r="G848" s="428"/>
      <c r="H848" s="428"/>
      <c r="I848" s="428"/>
      <c r="J848" s="428"/>
      <c r="K848" s="428"/>
      <c r="L848" s="428"/>
      <c r="M848" s="428"/>
    </row>
    <row r="849" spans="1:13" ht="12.75">
      <c r="A849" s="427"/>
      <c r="B849" s="428"/>
      <c r="C849" s="428"/>
      <c r="D849" s="428"/>
      <c r="E849" s="428"/>
      <c r="F849" s="429"/>
      <c r="G849" s="428"/>
      <c r="H849" s="428"/>
      <c r="I849" s="428"/>
      <c r="J849" s="428"/>
      <c r="K849" s="428"/>
      <c r="L849" s="428"/>
      <c r="M849" s="428"/>
    </row>
    <row r="850" spans="1:13" ht="12.75">
      <c r="A850" s="427"/>
      <c r="B850" s="428"/>
      <c r="C850" s="428"/>
      <c r="D850" s="428"/>
      <c r="E850" s="428"/>
      <c r="F850" s="429"/>
      <c r="G850" s="428"/>
      <c r="H850" s="428"/>
      <c r="I850" s="428"/>
      <c r="J850" s="428"/>
      <c r="K850" s="428"/>
      <c r="L850" s="428"/>
      <c r="M850" s="428"/>
    </row>
    <row r="851" spans="1:13" ht="12.75">
      <c r="A851" s="427"/>
      <c r="B851" s="428"/>
      <c r="C851" s="428"/>
      <c r="D851" s="428"/>
      <c r="E851" s="428"/>
      <c r="F851" s="429"/>
      <c r="G851" s="428"/>
      <c r="H851" s="428"/>
      <c r="I851" s="428"/>
      <c r="J851" s="428"/>
      <c r="K851" s="428"/>
      <c r="L851" s="428"/>
      <c r="M851" s="428"/>
    </row>
    <row r="852" spans="1:13" ht="12.75">
      <c r="A852" s="427"/>
      <c r="B852" s="428"/>
      <c r="C852" s="428"/>
      <c r="D852" s="428"/>
      <c r="E852" s="428"/>
      <c r="F852" s="429"/>
      <c r="G852" s="428"/>
      <c r="H852" s="428"/>
      <c r="I852" s="428"/>
      <c r="J852" s="428"/>
      <c r="K852" s="428"/>
      <c r="L852" s="428"/>
      <c r="M852" s="428"/>
    </row>
    <row r="853" spans="1:13" ht="12.75">
      <c r="A853" s="427"/>
      <c r="B853" s="428"/>
      <c r="C853" s="428"/>
      <c r="D853" s="428"/>
      <c r="E853" s="428"/>
      <c r="F853" s="429"/>
      <c r="G853" s="428"/>
      <c r="H853" s="428"/>
      <c r="I853" s="428"/>
      <c r="J853" s="428"/>
      <c r="K853" s="428"/>
      <c r="L853" s="428"/>
      <c r="M853" s="428"/>
    </row>
    <row r="854" spans="1:13" ht="12.75">
      <c r="A854" s="427"/>
      <c r="B854" s="428"/>
      <c r="C854" s="428"/>
      <c r="D854" s="428"/>
      <c r="E854" s="428"/>
      <c r="F854" s="429"/>
      <c r="G854" s="428"/>
      <c r="H854" s="428"/>
      <c r="I854" s="428"/>
      <c r="J854" s="428"/>
      <c r="K854" s="428"/>
      <c r="L854" s="428"/>
      <c r="M854" s="428"/>
    </row>
    <row r="855" spans="1:13" ht="12.75">
      <c r="A855" s="427"/>
      <c r="B855" s="428"/>
      <c r="C855" s="428"/>
      <c r="D855" s="428"/>
      <c r="E855" s="428"/>
      <c r="F855" s="429"/>
      <c r="G855" s="428"/>
      <c r="H855" s="428"/>
      <c r="I855" s="428"/>
      <c r="J855" s="428"/>
      <c r="K855" s="428"/>
      <c r="L855" s="428"/>
      <c r="M855" s="428"/>
    </row>
    <row r="856" spans="1:13" ht="12.75">
      <c r="A856" s="427"/>
      <c r="B856" s="428"/>
      <c r="C856" s="428"/>
      <c r="D856" s="428"/>
      <c r="E856" s="428"/>
      <c r="F856" s="429"/>
      <c r="G856" s="428"/>
      <c r="H856" s="428"/>
      <c r="I856" s="428"/>
      <c r="J856" s="428"/>
      <c r="K856" s="428"/>
      <c r="L856" s="428"/>
      <c r="M856" s="428"/>
    </row>
    <row r="857" spans="1:13" ht="12.75">
      <c r="A857" s="427"/>
      <c r="B857" s="428"/>
      <c r="C857" s="428"/>
      <c r="D857" s="428"/>
      <c r="E857" s="428"/>
      <c r="F857" s="429"/>
      <c r="G857" s="428"/>
      <c r="H857" s="428"/>
      <c r="I857" s="428"/>
      <c r="J857" s="428"/>
      <c r="K857" s="428"/>
      <c r="L857" s="428"/>
      <c r="M857" s="428"/>
    </row>
    <row r="858" spans="1:13" ht="12.75">
      <c r="A858" s="427"/>
      <c r="B858" s="428"/>
      <c r="C858" s="428"/>
      <c r="D858" s="428"/>
      <c r="E858" s="428"/>
      <c r="F858" s="429"/>
      <c r="G858" s="428"/>
      <c r="H858" s="428"/>
      <c r="I858" s="428"/>
      <c r="J858" s="428"/>
      <c r="K858" s="428"/>
      <c r="L858" s="428"/>
      <c r="M858" s="428"/>
    </row>
    <row r="859" spans="1:13" ht="12.75">
      <c r="A859" s="427"/>
      <c r="B859" s="428"/>
      <c r="C859" s="428"/>
      <c r="D859" s="428"/>
      <c r="E859" s="428"/>
      <c r="F859" s="429"/>
      <c r="G859" s="428"/>
      <c r="H859" s="428"/>
      <c r="I859" s="428"/>
      <c r="J859" s="428"/>
      <c r="K859" s="428"/>
      <c r="L859" s="428"/>
      <c r="M859" s="428"/>
    </row>
    <row r="860" spans="1:13" ht="12.75">
      <c r="A860" s="427"/>
      <c r="B860" s="428"/>
      <c r="C860" s="428"/>
      <c r="D860" s="428"/>
      <c r="E860" s="428"/>
      <c r="F860" s="429"/>
      <c r="G860" s="428"/>
      <c r="H860" s="428"/>
      <c r="I860" s="428"/>
      <c r="J860" s="428"/>
      <c r="K860" s="428"/>
      <c r="L860" s="428"/>
      <c r="M860" s="428"/>
    </row>
    <row r="861" spans="1:13" ht="12.75">
      <c r="A861" s="427"/>
      <c r="B861" s="428"/>
      <c r="C861" s="428"/>
      <c r="D861" s="428"/>
      <c r="E861" s="428"/>
      <c r="F861" s="429"/>
      <c r="G861" s="428"/>
      <c r="H861" s="428"/>
      <c r="I861" s="428"/>
      <c r="J861" s="428"/>
      <c r="K861" s="428"/>
      <c r="L861" s="428"/>
      <c r="M861" s="428"/>
    </row>
    <row r="862" spans="1:13" ht="12.75">
      <c r="A862" s="427"/>
      <c r="B862" s="428"/>
      <c r="C862" s="428"/>
      <c r="D862" s="428"/>
      <c r="E862" s="428"/>
      <c r="F862" s="429"/>
      <c r="G862" s="428"/>
      <c r="H862" s="428"/>
      <c r="I862" s="428"/>
      <c r="J862" s="428"/>
      <c r="K862" s="428"/>
      <c r="L862" s="428"/>
      <c r="M862" s="428"/>
    </row>
    <row r="863" spans="1:13" ht="12.75">
      <c r="A863" s="427"/>
      <c r="B863" s="428"/>
      <c r="C863" s="428"/>
      <c r="D863" s="428"/>
      <c r="E863" s="428"/>
      <c r="F863" s="429"/>
      <c r="G863" s="428"/>
      <c r="H863" s="428"/>
      <c r="I863" s="428"/>
      <c r="J863" s="428"/>
      <c r="K863" s="428"/>
      <c r="L863" s="428"/>
      <c r="M863" s="428"/>
    </row>
    <row r="864" spans="1:13" ht="12.75">
      <c r="A864" s="427"/>
      <c r="B864" s="428"/>
      <c r="C864" s="428"/>
      <c r="D864" s="428"/>
      <c r="E864" s="428"/>
      <c r="F864" s="429"/>
      <c r="G864" s="428"/>
      <c r="H864" s="428"/>
      <c r="I864" s="428"/>
      <c r="J864" s="428"/>
      <c r="K864" s="428"/>
      <c r="L864" s="428"/>
      <c r="M864" s="428"/>
    </row>
    <row r="865" spans="1:13" ht="12.75">
      <c r="A865" s="427"/>
      <c r="B865" s="428"/>
      <c r="C865" s="428"/>
      <c r="D865" s="428"/>
      <c r="E865" s="428"/>
      <c r="F865" s="429"/>
      <c r="G865" s="428"/>
      <c r="H865" s="428"/>
      <c r="I865" s="428"/>
      <c r="J865" s="428"/>
      <c r="K865" s="428"/>
      <c r="L865" s="428"/>
      <c r="M865" s="428"/>
    </row>
    <row r="866" spans="1:13" ht="12.75">
      <c r="A866" s="427"/>
      <c r="B866" s="428"/>
      <c r="C866" s="428"/>
      <c r="D866" s="428"/>
      <c r="E866" s="428"/>
      <c r="F866" s="429"/>
      <c r="G866" s="428"/>
      <c r="H866" s="428"/>
      <c r="I866" s="428"/>
      <c r="J866" s="428"/>
      <c r="K866" s="428"/>
      <c r="L866" s="428"/>
      <c r="M866" s="428"/>
    </row>
    <row r="867" spans="1:13" ht="12.75">
      <c r="A867" s="427"/>
      <c r="B867" s="428"/>
      <c r="C867" s="428"/>
      <c r="D867" s="428"/>
      <c r="E867" s="428"/>
      <c r="F867" s="429"/>
      <c r="G867" s="428"/>
      <c r="H867" s="428"/>
      <c r="I867" s="428"/>
      <c r="J867" s="428"/>
      <c r="K867" s="428"/>
      <c r="L867" s="428"/>
      <c r="M867" s="428"/>
    </row>
    <row r="868" spans="1:13" ht="12.75">
      <c r="A868" s="427"/>
      <c r="B868" s="428"/>
      <c r="C868" s="428"/>
      <c r="D868" s="428"/>
      <c r="E868" s="428"/>
      <c r="F868" s="429"/>
      <c r="G868" s="428"/>
      <c r="H868" s="428"/>
      <c r="I868" s="428"/>
      <c r="J868" s="428"/>
      <c r="K868" s="428"/>
      <c r="L868" s="428"/>
      <c r="M868" s="428"/>
    </row>
    <row r="869" spans="1:13" ht="12.75">
      <c r="A869" s="427"/>
      <c r="B869" s="428"/>
      <c r="C869" s="428"/>
      <c r="D869" s="428"/>
      <c r="E869" s="428"/>
      <c r="F869" s="429"/>
      <c r="G869" s="428"/>
      <c r="H869" s="428"/>
      <c r="I869" s="428"/>
      <c r="J869" s="428"/>
      <c r="K869" s="428"/>
      <c r="L869" s="428"/>
      <c r="M869" s="428"/>
    </row>
    <row r="870" spans="1:13" ht="12.75">
      <c r="A870" s="427"/>
      <c r="B870" s="428"/>
      <c r="C870" s="428"/>
      <c r="D870" s="428"/>
      <c r="E870" s="428"/>
      <c r="F870" s="429"/>
      <c r="G870" s="428"/>
      <c r="H870" s="428"/>
      <c r="I870" s="428"/>
      <c r="J870" s="428"/>
      <c r="K870" s="428"/>
      <c r="L870" s="428"/>
      <c r="M870" s="428"/>
    </row>
    <row r="871" spans="1:13" ht="12.75">
      <c r="A871" s="427"/>
      <c r="B871" s="428"/>
      <c r="C871" s="428"/>
      <c r="D871" s="428"/>
      <c r="E871" s="428"/>
      <c r="F871" s="429"/>
      <c r="G871" s="428"/>
      <c r="H871" s="428"/>
      <c r="I871" s="428"/>
      <c r="J871" s="428"/>
      <c r="K871" s="428"/>
      <c r="L871" s="428"/>
      <c r="M871" s="428"/>
    </row>
  </sheetData>
  <mergeCells count="4">
    <mergeCell ref="A3:B3"/>
    <mergeCell ref="A1:B1"/>
    <mergeCell ref="A2:B2"/>
    <mergeCell ref="C1:W1"/>
  </mergeCells>
  <printOptions horizontalCentered="1"/>
  <pageMargins left="0.23" right="0.23" top="1.2" bottom="0.77" header="0.2" footer="0.37"/>
  <pageSetup firstPageNumber="4" useFirstPageNumber="1" horizontalDpi="600" verticalDpi="600" orientation="portrait" paperSize="5" scale="78" r:id="rId1"/>
  <headerFooter alignWithMargins="0">
    <oddHeader>&amp;L&amp;"Arial,Bold"&amp;16TABLE 3: FY 2002-2003 MFP
LEVEL 1 BASE PER PUPIL AND LEVEL 2 LOCAL INCENTIVE</oddHeader>
    <oddFooter>&amp;L&amp;F,&amp;A&amp;R&amp;P</oddFooter>
  </headerFooter>
  <colBreaks count="5" manualBreakCount="5">
    <brk id="17" min="7" max="74" man="1"/>
    <brk id="23" min="7" max="74" man="1"/>
    <brk id="30" max="65535" man="1"/>
    <brk id="37" min="7" max="74" man="1"/>
    <brk id="44" min="7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D137"/>
  <sheetViews>
    <sheetView zoomScale="85" zoomScaleNormal="85" workbookViewId="0" topLeftCell="A2">
      <selection activeCell="V76" sqref="V76"/>
    </sheetView>
  </sheetViews>
  <sheetFormatPr defaultColWidth="12.57421875" defaultRowHeight="12.75"/>
  <cols>
    <col min="1" max="1" width="3.00390625" style="2" customWidth="1"/>
    <col min="2" max="2" width="19.28125" style="2" bestFit="1" customWidth="1"/>
    <col min="3" max="3" width="14.28125" style="2" customWidth="1"/>
    <col min="4" max="4" width="12.7109375" style="2" customWidth="1"/>
    <col min="5" max="5" width="7.421875" style="2" customWidth="1"/>
    <col min="6" max="6" width="16.7109375" style="2" customWidth="1"/>
    <col min="7" max="7" width="15.28125" style="2" customWidth="1"/>
    <col min="8" max="8" width="16.421875" style="2" customWidth="1"/>
    <col min="9" max="9" width="7.7109375" style="2" customWidth="1"/>
    <col min="10" max="10" width="13.28125" style="2" customWidth="1"/>
    <col min="11" max="11" width="8.57421875" style="2" customWidth="1"/>
    <col min="12" max="12" width="15.28125" style="2" bestFit="1" customWidth="1"/>
    <col min="13" max="14" width="14.7109375" style="2" customWidth="1"/>
    <col min="15" max="15" width="14.28125" style="2" customWidth="1"/>
    <col min="16" max="16" width="13.28125" style="2" customWidth="1"/>
    <col min="17" max="17" width="12.28125" style="2" customWidth="1"/>
    <col min="18" max="18" width="15.421875" style="2" bestFit="1" customWidth="1"/>
    <col min="19" max="20" width="15.28125" style="2" customWidth="1"/>
    <col min="21" max="21" width="10.7109375" style="2" customWidth="1"/>
    <col min="22" max="22" width="13.57421875" style="2" customWidth="1"/>
    <col min="23" max="24" width="13.7109375" style="2" customWidth="1"/>
    <col min="25" max="25" width="14.7109375" style="2" customWidth="1"/>
    <col min="26" max="16384" width="12.57421875" style="2" customWidth="1"/>
  </cols>
  <sheetData>
    <row r="1" spans="1:30" ht="44.25" customHeight="1" hidden="1" thickBot="1">
      <c r="A1" s="322"/>
      <c r="B1" s="606"/>
      <c r="C1" s="578" t="s">
        <v>491</v>
      </c>
      <c r="D1" s="578" t="s">
        <v>492</v>
      </c>
      <c r="E1" s="296"/>
      <c r="F1" s="579" t="s">
        <v>523</v>
      </c>
      <c r="G1" s="578" t="s">
        <v>561</v>
      </c>
      <c r="H1" s="578" t="s">
        <v>562</v>
      </c>
      <c r="I1" s="578" t="s">
        <v>563</v>
      </c>
      <c r="J1" s="578" t="s">
        <v>564</v>
      </c>
      <c r="K1" s="603"/>
      <c r="L1" s="604" t="s">
        <v>550</v>
      </c>
      <c r="M1" s="545" t="s">
        <v>565</v>
      </c>
      <c r="N1" s="604" t="s">
        <v>574</v>
      </c>
      <c r="O1" s="604" t="s">
        <v>545</v>
      </c>
      <c r="P1" s="538" t="s">
        <v>546</v>
      </c>
      <c r="Q1" s="532" t="s">
        <v>567</v>
      </c>
      <c r="R1" s="604" t="s">
        <v>566</v>
      </c>
      <c r="S1" s="455" t="s">
        <v>568</v>
      </c>
      <c r="T1" s="604" t="s">
        <v>569</v>
      </c>
      <c r="U1" s="604" t="s">
        <v>509</v>
      </c>
      <c r="V1" s="455" t="s">
        <v>570</v>
      </c>
      <c r="W1" s="538" t="s">
        <v>509</v>
      </c>
      <c r="X1" s="604" t="s">
        <v>571</v>
      </c>
      <c r="Y1" s="605" t="s">
        <v>572</v>
      </c>
      <c r="Z1" s="1"/>
      <c r="AA1" s="1"/>
      <c r="AB1" s="1"/>
      <c r="AC1" s="1"/>
      <c r="AD1" s="1"/>
    </row>
    <row r="2" spans="1:25" ht="45" customHeight="1" thickBot="1">
      <c r="A2" s="495"/>
      <c r="B2" s="607"/>
      <c r="C2" s="714" t="s">
        <v>450</v>
      </c>
      <c r="D2" s="721"/>
      <c r="E2" s="721"/>
      <c r="F2" s="721"/>
      <c r="G2" s="721"/>
      <c r="H2" s="721"/>
      <c r="I2" s="721"/>
      <c r="J2" s="721"/>
      <c r="K2" s="722"/>
      <c r="L2" s="723" t="s">
        <v>552</v>
      </c>
      <c r="M2" s="724"/>
      <c r="N2" s="725"/>
      <c r="O2" s="726" t="s">
        <v>549</v>
      </c>
      <c r="P2" s="727"/>
      <c r="Q2" s="727"/>
      <c r="R2" s="728"/>
      <c r="S2" s="714" t="s">
        <v>445</v>
      </c>
      <c r="T2" s="715"/>
      <c r="U2" s="714" t="s">
        <v>422</v>
      </c>
      <c r="V2" s="719"/>
      <c r="W2" s="719"/>
      <c r="X2" s="720"/>
      <c r="Y2" s="533" t="s">
        <v>447</v>
      </c>
    </row>
    <row r="3" spans="1:25" ht="78" customHeight="1">
      <c r="A3" s="256"/>
      <c r="B3" s="596" t="s">
        <v>121</v>
      </c>
      <c r="C3" s="580" t="str">
        <f>'Table 3 Levels 1&amp;2'!AN5</f>
        <v>2002-2003             Levels 1 and 2 STATE SHARE OF COST</v>
      </c>
      <c r="D3" s="706" t="s">
        <v>653</v>
      </c>
      <c r="E3" s="257" t="s">
        <v>415</v>
      </c>
      <c r="F3" s="718" t="s">
        <v>632</v>
      </c>
      <c r="G3" s="729" t="s">
        <v>524</v>
      </c>
      <c r="H3" s="493" t="s">
        <v>525</v>
      </c>
      <c r="I3" s="258" t="s">
        <v>420</v>
      </c>
      <c r="J3" s="493" t="s">
        <v>526</v>
      </c>
      <c r="K3" s="581" t="s">
        <v>421</v>
      </c>
      <c r="L3" s="708" t="s">
        <v>634</v>
      </c>
      <c r="M3" s="710" t="s">
        <v>547</v>
      </c>
      <c r="N3" s="712" t="s">
        <v>637</v>
      </c>
      <c r="O3" s="526" t="s">
        <v>544</v>
      </c>
      <c r="P3" s="731" t="s">
        <v>542</v>
      </c>
      <c r="Q3" s="258" t="s">
        <v>543</v>
      </c>
      <c r="R3" s="496" t="s">
        <v>548</v>
      </c>
      <c r="S3" s="544" t="s">
        <v>579</v>
      </c>
      <c r="T3" s="501" t="s">
        <v>446</v>
      </c>
      <c r="U3" s="716" t="s">
        <v>510</v>
      </c>
      <c r="V3" s="704" t="s">
        <v>635</v>
      </c>
      <c r="W3" s="704" t="s">
        <v>636</v>
      </c>
      <c r="X3" s="704" t="s">
        <v>527</v>
      </c>
      <c r="Y3" s="534" t="s">
        <v>541</v>
      </c>
    </row>
    <row r="4" spans="1:25" ht="28.5" customHeight="1">
      <c r="A4" s="249"/>
      <c r="B4" s="597"/>
      <c r="C4" s="582"/>
      <c r="D4" s="707"/>
      <c r="E4" s="250"/>
      <c r="F4" s="707"/>
      <c r="G4" s="730"/>
      <c r="H4" s="251"/>
      <c r="I4" s="251"/>
      <c r="J4" s="251"/>
      <c r="K4" s="583"/>
      <c r="L4" s="709"/>
      <c r="M4" s="711"/>
      <c r="N4" s="713"/>
      <c r="O4" s="497"/>
      <c r="P4" s="732"/>
      <c r="Q4" s="531"/>
      <c r="R4" s="655"/>
      <c r="S4" s="636"/>
      <c r="T4" s="502">
        <f>ROUND(4244400/$S$73,3)</f>
        <v>15051.064</v>
      </c>
      <c r="U4" s="717"/>
      <c r="V4" s="705"/>
      <c r="W4" s="705"/>
      <c r="X4" s="705"/>
      <c r="Y4" s="535"/>
    </row>
    <row r="5" spans="1:25" ht="14.25" customHeight="1">
      <c r="A5" s="247"/>
      <c r="B5" s="598"/>
      <c r="C5" s="584" t="s">
        <v>122</v>
      </c>
      <c r="D5" s="248" t="s">
        <v>309</v>
      </c>
      <c r="E5" s="248" t="s">
        <v>123</v>
      </c>
      <c r="F5" s="592" t="s">
        <v>124</v>
      </c>
      <c r="G5" s="592" t="s">
        <v>125</v>
      </c>
      <c r="H5" s="592" t="s">
        <v>126</v>
      </c>
      <c r="I5" s="592" t="s">
        <v>127</v>
      </c>
      <c r="J5" s="592" t="s">
        <v>128</v>
      </c>
      <c r="K5" s="593" t="s">
        <v>129</v>
      </c>
      <c r="L5" s="512" t="s">
        <v>130</v>
      </c>
      <c r="M5" s="512" t="s">
        <v>131</v>
      </c>
      <c r="N5" s="594" t="s">
        <v>132</v>
      </c>
      <c r="O5" s="541" t="s">
        <v>205</v>
      </c>
      <c r="P5" s="542" t="s">
        <v>283</v>
      </c>
      <c r="Q5" s="527" t="s">
        <v>284</v>
      </c>
      <c r="R5" s="656" t="s">
        <v>206</v>
      </c>
      <c r="S5" s="541" t="s">
        <v>285</v>
      </c>
      <c r="T5" s="593" t="s">
        <v>286</v>
      </c>
      <c r="U5" s="541" t="s">
        <v>287</v>
      </c>
      <c r="V5" s="512" t="s">
        <v>288</v>
      </c>
      <c r="W5" s="592" t="s">
        <v>289</v>
      </c>
      <c r="X5" s="593" t="s">
        <v>290</v>
      </c>
      <c r="Y5" s="595" t="s">
        <v>291</v>
      </c>
    </row>
    <row r="6" spans="1:25" ht="12.75">
      <c r="A6" s="412">
        <v>1</v>
      </c>
      <c r="B6" s="599" t="s">
        <v>133</v>
      </c>
      <c r="C6" s="585">
        <f>'Table 3 Levels 1&amp;2'!AN8</f>
        <v>32923074</v>
      </c>
      <c r="D6" s="18">
        <f>ROUND(C6/'Table 3 Levels 1&amp;2'!C8,2)</f>
        <v>3467.05</v>
      </c>
      <c r="E6" s="433">
        <f>RANK(D6,$D$6:$D$71)</f>
        <v>47</v>
      </c>
      <c r="F6" s="18">
        <f>'[4]Table 3 Levels 1&amp;2'!AN9</f>
        <v>33360169</v>
      </c>
      <c r="G6" s="18">
        <f aca="true" t="shared" si="0" ref="G6:G37">C6-F6</f>
        <v>-437095</v>
      </c>
      <c r="H6" s="17">
        <f>IF(G6&gt;0,G6,0)</f>
        <v>0</v>
      </c>
      <c r="I6" s="136">
        <f>ROUND(H6/+'Table 3 Levels 1&amp;2'!C8,0)</f>
        <v>0</v>
      </c>
      <c r="J6" s="136">
        <f>IF(G6&lt;0,G6,0)</f>
        <v>-437095</v>
      </c>
      <c r="K6" s="586">
        <f>IF(J6&lt;0,1,0)</f>
        <v>1</v>
      </c>
      <c r="L6" s="136">
        <f>IF(J6&lt;0,0,(ROUND(D6*'Table 8 Membership'!Y8,0)*-1))</f>
        <v>0</v>
      </c>
      <c r="M6" s="17">
        <f>H6+L6</f>
        <v>0</v>
      </c>
      <c r="N6" s="17">
        <f>ROUND((M6/2)/1.131,0)</f>
        <v>0</v>
      </c>
      <c r="O6" s="498">
        <v>1493479</v>
      </c>
      <c r="P6" s="107">
        <v>9585</v>
      </c>
      <c r="Q6" s="17">
        <f>ROUND(O6/P6,0)</f>
        <v>156</v>
      </c>
      <c r="R6" s="657">
        <f>ROUND(Q6*'Table 3 Levels 1&amp;2'!C8,0)</f>
        <v>1481376</v>
      </c>
      <c r="S6" s="503">
        <v>12</v>
      </c>
      <c r="T6" s="548">
        <f>ROUND($T$4*S6,0)</f>
        <v>180613</v>
      </c>
      <c r="U6" s="217">
        <v>0</v>
      </c>
      <c r="V6" s="217">
        <f>ROUND(U6*'Table 3 Levels 1&amp;2'!C8,0)</f>
        <v>0</v>
      </c>
      <c r="W6" s="217">
        <v>0</v>
      </c>
      <c r="X6" s="548">
        <f>IF(V6&gt;W6,W6,V6)</f>
        <v>0</v>
      </c>
      <c r="Y6" s="569">
        <f aca="true" t="shared" si="1" ref="Y6:Y37">X6+T6+R6</f>
        <v>1661989</v>
      </c>
    </row>
    <row r="7" spans="1:25" ht="12.75">
      <c r="A7" s="412">
        <v>2</v>
      </c>
      <c r="B7" s="599" t="s">
        <v>134</v>
      </c>
      <c r="C7" s="585">
        <f>'Table 3 Levels 1&amp;2'!AN9</f>
        <v>17865723</v>
      </c>
      <c r="D7" s="18">
        <f>ROUND(C7/'Table 3 Levels 1&amp;2'!C9,2)</f>
        <v>4260.84</v>
      </c>
      <c r="E7" s="433">
        <f aca="true" t="shared" si="2" ref="E7:E70">RANK(D7,$D$6:$D$71)</f>
        <v>16</v>
      </c>
      <c r="F7" s="18">
        <f>'[4]Table 3 Levels 1&amp;2'!AN10</f>
        <v>16916477</v>
      </c>
      <c r="G7" s="18">
        <f t="shared" si="0"/>
        <v>949246</v>
      </c>
      <c r="H7" s="17">
        <f aca="true" t="shared" si="3" ref="H7:H70">IF(G7&gt;0,G7,0)</f>
        <v>949246</v>
      </c>
      <c r="I7" s="136">
        <f>ROUND(H7/+'Table 3 Levels 1&amp;2'!C9,0)</f>
        <v>226</v>
      </c>
      <c r="J7" s="136">
        <f aca="true" t="shared" si="4" ref="J7:J70">IF(G7&lt;0,G7,0)</f>
        <v>0</v>
      </c>
      <c r="K7" s="586">
        <f aca="true" t="shared" si="5" ref="K7:K70">IF(J7&lt;0,1,0)</f>
        <v>0</v>
      </c>
      <c r="L7" s="136">
        <f>IF(J7&lt;0,0,(ROUND(D7*'Table 8 Membership'!Y9,0)*-1))</f>
        <v>-187477</v>
      </c>
      <c r="M7" s="17">
        <f aca="true" t="shared" si="6" ref="M7:M70">H7+L7</f>
        <v>761769</v>
      </c>
      <c r="N7" s="17">
        <f>ROUND((M7/2)/1.131,0)</f>
        <v>336768</v>
      </c>
      <c r="O7" s="498">
        <v>539197</v>
      </c>
      <c r="P7" s="107">
        <v>4152</v>
      </c>
      <c r="Q7" s="17">
        <f aca="true" t="shared" si="7" ref="Q7:Q70">ROUND(O7/P7,0)</f>
        <v>130</v>
      </c>
      <c r="R7" s="658">
        <f>ROUND(Q7*'Table 3 Levels 1&amp;2'!C9,0)</f>
        <v>545090</v>
      </c>
      <c r="S7" s="503">
        <v>0</v>
      </c>
      <c r="T7" s="548">
        <f aca="true" t="shared" si="8" ref="T7:T70">ROUND($T$4*S7,0)</f>
        <v>0</v>
      </c>
      <c r="U7" s="217">
        <v>0</v>
      </c>
      <c r="V7" s="217">
        <f>ROUND(U7*'Table 3 Levels 1&amp;2'!C9,0)</f>
        <v>0</v>
      </c>
      <c r="W7" s="217">
        <v>0</v>
      </c>
      <c r="X7" s="548">
        <f aca="true" t="shared" si="9" ref="X7:X70">IF(V7&gt;W7,W7,V7)</f>
        <v>0</v>
      </c>
      <c r="Y7" s="569">
        <f t="shared" si="1"/>
        <v>545090</v>
      </c>
    </row>
    <row r="8" spans="1:25" ht="12.75">
      <c r="A8" s="412">
        <v>3</v>
      </c>
      <c r="B8" s="599" t="s">
        <v>135</v>
      </c>
      <c r="C8" s="585">
        <f>'Table 3 Levels 1&amp;2'!AN10</f>
        <v>44460169</v>
      </c>
      <c r="D8" s="18">
        <f>ROUND(C8/'Table 3 Levels 1&amp;2'!C10,2)</f>
        <v>2927.9</v>
      </c>
      <c r="E8" s="433">
        <f t="shared" si="2"/>
        <v>55</v>
      </c>
      <c r="F8" s="18">
        <f>'[4]Table 3 Levels 1&amp;2'!AN11</f>
        <v>41811673</v>
      </c>
      <c r="G8" s="18">
        <f t="shared" si="0"/>
        <v>2648496</v>
      </c>
      <c r="H8" s="17">
        <f t="shared" si="3"/>
        <v>2648496</v>
      </c>
      <c r="I8" s="136">
        <f>ROUND(H8/+'Table 3 Levels 1&amp;2'!C10,0)</f>
        <v>174</v>
      </c>
      <c r="J8" s="136">
        <f t="shared" si="4"/>
        <v>0</v>
      </c>
      <c r="K8" s="586">
        <f t="shared" si="5"/>
        <v>0</v>
      </c>
      <c r="L8" s="136">
        <f>IF(J8&lt;0,0,(ROUND(D8*'Table 8 Membership'!Y10,0)*-1))</f>
        <v>-708552</v>
      </c>
      <c r="M8" s="17">
        <f t="shared" si="6"/>
        <v>1939944</v>
      </c>
      <c r="N8" s="17">
        <f aca="true" t="shared" si="10" ref="N8:N70">ROUND((M8/2)/1.131,0)</f>
        <v>857623</v>
      </c>
      <c r="O8" s="498">
        <v>0</v>
      </c>
      <c r="P8" s="107">
        <v>14959</v>
      </c>
      <c r="Q8" s="17">
        <f t="shared" si="7"/>
        <v>0</v>
      </c>
      <c r="R8" s="658">
        <f>ROUND(Q8*'Table 3 Levels 1&amp;2'!C10,0)</f>
        <v>0</v>
      </c>
      <c r="S8" s="503">
        <v>1</v>
      </c>
      <c r="T8" s="548">
        <f>ROUND($T$4*S8,0)</f>
        <v>15051</v>
      </c>
      <c r="U8" s="217">
        <v>0</v>
      </c>
      <c r="V8" s="217">
        <f>ROUND(U8*'Table 3 Levels 1&amp;2'!C10,0)</f>
        <v>0</v>
      </c>
      <c r="W8" s="217">
        <v>0</v>
      </c>
      <c r="X8" s="548">
        <f t="shared" si="9"/>
        <v>0</v>
      </c>
      <c r="Y8" s="569">
        <f t="shared" si="1"/>
        <v>15051</v>
      </c>
    </row>
    <row r="9" spans="1:25" ht="12.75">
      <c r="A9" s="412">
        <v>4</v>
      </c>
      <c r="B9" s="599" t="s">
        <v>136</v>
      </c>
      <c r="C9" s="585">
        <f>'Table 3 Levels 1&amp;2'!AN11</f>
        <v>18900729</v>
      </c>
      <c r="D9" s="18">
        <f>ROUND(C9/'Table 3 Levels 1&amp;2'!C11,2)</f>
        <v>4348.99</v>
      </c>
      <c r="E9" s="433">
        <f t="shared" si="2"/>
        <v>9</v>
      </c>
      <c r="F9" s="18">
        <f>'[4]Table 3 Levels 1&amp;2'!AN12</f>
        <v>18829992</v>
      </c>
      <c r="G9" s="18">
        <f t="shared" si="0"/>
        <v>70737</v>
      </c>
      <c r="H9" s="17">
        <f t="shared" si="3"/>
        <v>70737</v>
      </c>
      <c r="I9" s="136">
        <f>ROUND(H9/+'Table 3 Levels 1&amp;2'!C11,0)</f>
        <v>16</v>
      </c>
      <c r="J9" s="136">
        <f t="shared" si="4"/>
        <v>0</v>
      </c>
      <c r="K9" s="586">
        <f t="shared" si="5"/>
        <v>0</v>
      </c>
      <c r="L9" s="136">
        <f>IF(J9&lt;0,0,(ROUND(D9*'Table 8 Membership'!Y11,0)*-1))</f>
        <v>0</v>
      </c>
      <c r="M9" s="17">
        <f t="shared" si="6"/>
        <v>70737</v>
      </c>
      <c r="N9" s="17">
        <f t="shared" si="10"/>
        <v>31272</v>
      </c>
      <c r="O9" s="498">
        <v>80432</v>
      </c>
      <c r="P9" s="107">
        <v>4410</v>
      </c>
      <c r="Q9" s="17">
        <f t="shared" si="7"/>
        <v>18</v>
      </c>
      <c r="R9" s="658">
        <f>ROUND(Q9*'Table 3 Levels 1&amp;2'!C11,0)</f>
        <v>78228</v>
      </c>
      <c r="S9" s="503">
        <v>6</v>
      </c>
      <c r="T9" s="548">
        <f t="shared" si="8"/>
        <v>90306</v>
      </c>
      <c r="U9" s="217">
        <v>0</v>
      </c>
      <c r="V9" s="217">
        <f>ROUND(U9*'Table 3 Levels 1&amp;2'!C11,0)</f>
        <v>0</v>
      </c>
      <c r="W9" s="217">
        <v>0</v>
      </c>
      <c r="X9" s="548">
        <f t="shared" si="9"/>
        <v>0</v>
      </c>
      <c r="Y9" s="569">
        <f t="shared" si="1"/>
        <v>168534</v>
      </c>
    </row>
    <row r="10" spans="1:25" ht="12.75">
      <c r="A10" s="413">
        <v>5</v>
      </c>
      <c r="B10" s="600" t="s">
        <v>137</v>
      </c>
      <c r="C10" s="587">
        <f>'Table 3 Levels 1&amp;2'!AN12</f>
        <v>24630470</v>
      </c>
      <c r="D10" s="19">
        <f>ROUND(C10/'Table 3 Levels 1&amp;2'!C12,2)</f>
        <v>3759.8</v>
      </c>
      <c r="E10" s="434">
        <f t="shared" si="2"/>
        <v>36</v>
      </c>
      <c r="F10" s="19">
        <f>'[4]Table 3 Levels 1&amp;2'!AN13</f>
        <v>24117223</v>
      </c>
      <c r="G10" s="19">
        <f t="shared" si="0"/>
        <v>513247</v>
      </c>
      <c r="H10" s="246">
        <f t="shared" si="3"/>
        <v>513247</v>
      </c>
      <c r="I10" s="550">
        <f>ROUND(H10/+'Table 3 Levels 1&amp;2'!C12,0)</f>
        <v>78</v>
      </c>
      <c r="J10" s="550">
        <f t="shared" si="4"/>
        <v>0</v>
      </c>
      <c r="K10" s="588">
        <f t="shared" si="5"/>
        <v>0</v>
      </c>
      <c r="L10" s="550">
        <f>IF(J10&lt;0,0,(ROUND(D10*'Table 8 Membership'!Y12,0)*-1))</f>
        <v>0</v>
      </c>
      <c r="M10" s="246">
        <f t="shared" si="6"/>
        <v>513247</v>
      </c>
      <c r="N10" s="246">
        <f t="shared" si="10"/>
        <v>226900</v>
      </c>
      <c r="O10" s="499">
        <v>821031</v>
      </c>
      <c r="P10" s="547">
        <v>6624</v>
      </c>
      <c r="Q10" s="246">
        <f t="shared" si="7"/>
        <v>124</v>
      </c>
      <c r="R10" s="659">
        <f>ROUND(Q10*'Table 3 Levels 1&amp;2'!C12,0)</f>
        <v>812324</v>
      </c>
      <c r="S10" s="637">
        <v>0</v>
      </c>
      <c r="T10" s="549">
        <f t="shared" si="8"/>
        <v>0</v>
      </c>
      <c r="U10" s="435">
        <v>0</v>
      </c>
      <c r="V10" s="435">
        <f>ROUND(U10*'Table 3 Levels 1&amp;2'!C12,0)</f>
        <v>0</v>
      </c>
      <c r="W10" s="435">
        <v>0</v>
      </c>
      <c r="X10" s="549">
        <f t="shared" si="9"/>
        <v>0</v>
      </c>
      <c r="Y10" s="570">
        <f t="shared" si="1"/>
        <v>812324</v>
      </c>
    </row>
    <row r="11" spans="1:25" ht="12.75">
      <c r="A11" s="412">
        <v>6</v>
      </c>
      <c r="B11" s="599" t="s">
        <v>138</v>
      </c>
      <c r="C11" s="585">
        <f>'Table 3 Levels 1&amp;2'!AN13</f>
        <v>22873000</v>
      </c>
      <c r="D11" s="18">
        <f>ROUND(C11/'Table 3 Levels 1&amp;2'!C13,2)</f>
        <v>3773.18</v>
      </c>
      <c r="E11" s="433">
        <f t="shared" si="2"/>
        <v>34</v>
      </c>
      <c r="F11" s="18">
        <f>'[4]Table 3 Levels 1&amp;2'!AN14</f>
        <v>21670437</v>
      </c>
      <c r="G11" s="18">
        <f t="shared" si="0"/>
        <v>1202563</v>
      </c>
      <c r="H11" s="17">
        <f t="shared" si="3"/>
        <v>1202563</v>
      </c>
      <c r="I11" s="136">
        <f>ROUND(H11/+'Table 3 Levels 1&amp;2'!C13,0)</f>
        <v>198</v>
      </c>
      <c r="J11" s="136">
        <f t="shared" si="4"/>
        <v>0</v>
      </c>
      <c r="K11" s="586">
        <f t="shared" si="5"/>
        <v>0</v>
      </c>
      <c r="L11" s="136">
        <f>IF(J11&lt;0,0,(ROUND(D11*'Table 8 Membership'!Y13,0)*-1))</f>
        <v>-203752</v>
      </c>
      <c r="M11" s="17">
        <f t="shared" si="6"/>
        <v>998811</v>
      </c>
      <c r="N11" s="17">
        <f t="shared" si="10"/>
        <v>441561</v>
      </c>
      <c r="O11" s="498">
        <v>212629</v>
      </c>
      <c r="P11" s="107">
        <v>6009</v>
      </c>
      <c r="Q11" s="17">
        <f t="shared" si="7"/>
        <v>35</v>
      </c>
      <c r="R11" s="658">
        <f>ROUND(Q11*'Table 3 Levels 1&amp;2'!C13,0)</f>
        <v>212170</v>
      </c>
      <c r="S11" s="503">
        <v>0</v>
      </c>
      <c r="T11" s="548">
        <f t="shared" si="8"/>
        <v>0</v>
      </c>
      <c r="U11" s="217">
        <v>0</v>
      </c>
      <c r="V11" s="217">
        <f>ROUND(U11*'Table 3 Levels 1&amp;2'!C13,0)</f>
        <v>0</v>
      </c>
      <c r="W11" s="217">
        <v>0</v>
      </c>
      <c r="X11" s="548">
        <f t="shared" si="9"/>
        <v>0</v>
      </c>
      <c r="Y11" s="569">
        <f t="shared" si="1"/>
        <v>212170</v>
      </c>
    </row>
    <row r="12" spans="1:25" ht="12.75">
      <c r="A12" s="412">
        <v>7</v>
      </c>
      <c r="B12" s="599" t="s">
        <v>139</v>
      </c>
      <c r="C12" s="585">
        <f>'Table 3 Levels 1&amp;2'!AN14</f>
        <v>8637780</v>
      </c>
      <c r="D12" s="18">
        <f>ROUND(C12/'Table 3 Levels 1&amp;2'!C14,2)</f>
        <v>3525.62</v>
      </c>
      <c r="E12" s="433">
        <f t="shared" si="2"/>
        <v>45</v>
      </c>
      <c r="F12" s="18">
        <f>'[4]Table 3 Levels 1&amp;2'!AN15</f>
        <v>8177723</v>
      </c>
      <c r="G12" s="18">
        <f t="shared" si="0"/>
        <v>460057</v>
      </c>
      <c r="H12" s="17">
        <f t="shared" si="3"/>
        <v>460057</v>
      </c>
      <c r="I12" s="136">
        <f>ROUND(H12/+'Table 3 Levels 1&amp;2'!C14,0)</f>
        <v>188</v>
      </c>
      <c r="J12" s="136">
        <f t="shared" si="4"/>
        <v>0</v>
      </c>
      <c r="K12" s="586">
        <f t="shared" si="5"/>
        <v>0</v>
      </c>
      <c r="L12" s="136">
        <f>IF(J12&lt;0,0,(ROUND(D12*'Table 8 Membership'!Y14,0)*-1))</f>
        <v>0</v>
      </c>
      <c r="M12" s="17">
        <f t="shared" si="6"/>
        <v>460057</v>
      </c>
      <c r="N12" s="17">
        <f t="shared" si="10"/>
        <v>203385</v>
      </c>
      <c r="O12" s="498">
        <v>85526</v>
      </c>
      <c r="P12" s="107">
        <v>2492</v>
      </c>
      <c r="Q12" s="17">
        <f t="shared" si="7"/>
        <v>34</v>
      </c>
      <c r="R12" s="658">
        <f>ROUND(Q12*'Table 3 Levels 1&amp;2'!C14,0)</f>
        <v>83300</v>
      </c>
      <c r="S12" s="503">
        <v>0</v>
      </c>
      <c r="T12" s="548">
        <f t="shared" si="8"/>
        <v>0</v>
      </c>
      <c r="U12" s="217">
        <v>0</v>
      </c>
      <c r="V12" s="217">
        <f>ROUND(U12*'Table 3 Levels 1&amp;2'!C14,0)</f>
        <v>0</v>
      </c>
      <c r="W12" s="217">
        <v>0</v>
      </c>
      <c r="X12" s="548">
        <f t="shared" si="9"/>
        <v>0</v>
      </c>
      <c r="Y12" s="569">
        <f t="shared" si="1"/>
        <v>83300</v>
      </c>
    </row>
    <row r="13" spans="1:25" ht="12.75">
      <c r="A13" s="412">
        <v>8</v>
      </c>
      <c r="B13" s="599" t="s">
        <v>140</v>
      </c>
      <c r="C13" s="585">
        <f>'Table 3 Levels 1&amp;2'!AN15</f>
        <v>59258268</v>
      </c>
      <c r="D13" s="18">
        <f>ROUND(C13/'Table 3 Levels 1&amp;2'!C15,2)</f>
        <v>3182.16</v>
      </c>
      <c r="E13" s="433">
        <f t="shared" si="2"/>
        <v>52</v>
      </c>
      <c r="F13" s="18">
        <f>'[4]Table 3 Levels 1&amp;2'!AN16</f>
        <v>56738201</v>
      </c>
      <c r="G13" s="18">
        <f t="shared" si="0"/>
        <v>2520067</v>
      </c>
      <c r="H13" s="17">
        <f t="shared" si="3"/>
        <v>2520067</v>
      </c>
      <c r="I13" s="136">
        <f>ROUND(H13/+'Table 3 Levels 1&amp;2'!C15,0)</f>
        <v>135</v>
      </c>
      <c r="J13" s="136">
        <f t="shared" si="4"/>
        <v>0</v>
      </c>
      <c r="K13" s="586">
        <f t="shared" si="5"/>
        <v>0</v>
      </c>
      <c r="L13" s="136">
        <f>IF(J13&lt;0,0,(ROUND(D13*'Table 8 Membership'!Y15,0)*-1))</f>
        <v>-407316</v>
      </c>
      <c r="M13" s="17">
        <f t="shared" si="6"/>
        <v>2112751</v>
      </c>
      <c r="N13" s="17">
        <f t="shared" si="10"/>
        <v>934019</v>
      </c>
      <c r="O13" s="498">
        <v>2680891</v>
      </c>
      <c r="P13" s="107">
        <v>18497</v>
      </c>
      <c r="Q13" s="17">
        <f t="shared" si="7"/>
        <v>145</v>
      </c>
      <c r="R13" s="658">
        <f>ROUND(Q13*'Table 3 Levels 1&amp;2'!C15,0)</f>
        <v>2700190</v>
      </c>
      <c r="S13" s="503">
        <v>2</v>
      </c>
      <c r="T13" s="548">
        <f>ROUND($T$4*S13,0)</f>
        <v>30102</v>
      </c>
      <c r="U13" s="217">
        <v>0</v>
      </c>
      <c r="V13" s="217">
        <f>ROUND(U13*'Table 3 Levels 1&amp;2'!C15,0)</f>
        <v>0</v>
      </c>
      <c r="W13" s="217">
        <v>0</v>
      </c>
      <c r="X13" s="548">
        <f t="shared" si="9"/>
        <v>0</v>
      </c>
      <c r="Y13" s="569">
        <f t="shared" si="1"/>
        <v>2730292</v>
      </c>
    </row>
    <row r="14" spans="1:25" ht="12.75">
      <c r="A14" s="412">
        <v>9</v>
      </c>
      <c r="B14" s="599" t="s">
        <v>141</v>
      </c>
      <c r="C14" s="585">
        <f>'Table 3 Levels 1&amp;2'!AN16</f>
        <v>160769686</v>
      </c>
      <c r="D14" s="18">
        <f>ROUND(C14/'Table 3 Levels 1&amp;2'!C16,2)</f>
        <v>3676.67</v>
      </c>
      <c r="E14" s="433">
        <f t="shared" si="2"/>
        <v>40</v>
      </c>
      <c r="F14" s="18">
        <f>'[4]Table 3 Levels 1&amp;2'!AN17</f>
        <v>152993464</v>
      </c>
      <c r="G14" s="18">
        <f t="shared" si="0"/>
        <v>7776222</v>
      </c>
      <c r="H14" s="17">
        <f t="shared" si="3"/>
        <v>7776222</v>
      </c>
      <c r="I14" s="136">
        <f>ROUND(H14/+'Table 3 Levels 1&amp;2'!C16,0)</f>
        <v>178</v>
      </c>
      <c r="J14" s="136">
        <f t="shared" si="4"/>
        <v>0</v>
      </c>
      <c r="K14" s="586">
        <f t="shared" si="5"/>
        <v>0</v>
      </c>
      <c r="L14" s="136">
        <f>IF(J14&lt;0,0,(ROUND(D14*'Table 8 Membership'!Y16,0)*-1))</f>
        <v>0</v>
      </c>
      <c r="M14" s="17">
        <f t="shared" si="6"/>
        <v>7776222</v>
      </c>
      <c r="N14" s="17">
        <f t="shared" si="10"/>
        <v>3437764</v>
      </c>
      <c r="O14" s="498">
        <v>2632453</v>
      </c>
      <c r="P14" s="107">
        <v>43953</v>
      </c>
      <c r="Q14" s="17">
        <f t="shared" si="7"/>
        <v>60</v>
      </c>
      <c r="R14" s="658">
        <f>ROUND(Q14*'Table 3 Levels 1&amp;2'!C16,0)</f>
        <v>2623620</v>
      </c>
      <c r="S14" s="503">
        <v>11</v>
      </c>
      <c r="T14" s="548">
        <f>ROUND($T$4*S14,0)+0.5</f>
        <v>165562.5</v>
      </c>
      <c r="U14" s="217">
        <v>0</v>
      </c>
      <c r="V14" s="217">
        <f>ROUND(U14*'Table 3 Levels 1&amp;2'!C16,0)</f>
        <v>0</v>
      </c>
      <c r="W14" s="217">
        <v>0</v>
      </c>
      <c r="X14" s="548">
        <f t="shared" si="9"/>
        <v>0</v>
      </c>
      <c r="Y14" s="569">
        <f t="shared" si="1"/>
        <v>2789182.5</v>
      </c>
    </row>
    <row r="15" spans="1:25" ht="12.75">
      <c r="A15" s="413">
        <v>10</v>
      </c>
      <c r="B15" s="600" t="s">
        <v>142</v>
      </c>
      <c r="C15" s="587">
        <f>'Table 3 Levels 1&amp;2'!AN17</f>
        <v>92992716</v>
      </c>
      <c r="D15" s="19">
        <f>ROUND(C15/'Table 3 Levels 1&amp;2'!C17,2)</f>
        <v>2950</v>
      </c>
      <c r="E15" s="434">
        <f t="shared" si="2"/>
        <v>54</v>
      </c>
      <c r="F15" s="19">
        <f>'[4]Table 3 Levels 1&amp;2'!AN18</f>
        <v>89159643</v>
      </c>
      <c r="G15" s="19">
        <f t="shared" si="0"/>
        <v>3833073</v>
      </c>
      <c r="H15" s="246">
        <f t="shared" si="3"/>
        <v>3833073</v>
      </c>
      <c r="I15" s="550">
        <f>ROUND(H15/+'Table 3 Levels 1&amp;2'!C17,0)</f>
        <v>122</v>
      </c>
      <c r="J15" s="550">
        <f t="shared" si="4"/>
        <v>0</v>
      </c>
      <c r="K15" s="588">
        <f t="shared" si="5"/>
        <v>0</v>
      </c>
      <c r="L15" s="550">
        <f>IF(J15&lt;0,0,(ROUND(D15*'Table 8 Membership'!Y17,0)*-1))</f>
        <v>-150450</v>
      </c>
      <c r="M15" s="246">
        <f t="shared" si="6"/>
        <v>3682623</v>
      </c>
      <c r="N15" s="246">
        <f t="shared" si="10"/>
        <v>1628038</v>
      </c>
      <c r="O15" s="499">
        <v>765735</v>
      </c>
      <c r="P15" s="547">
        <v>31440</v>
      </c>
      <c r="Q15" s="246">
        <f t="shared" si="7"/>
        <v>24</v>
      </c>
      <c r="R15" s="659">
        <f>ROUND(Q15*'Table 3 Levels 1&amp;2'!C17,0)</f>
        <v>756552</v>
      </c>
      <c r="S15" s="637">
        <v>27</v>
      </c>
      <c r="T15" s="549">
        <f>ROUND($T$4*S15,0)</f>
        <v>406379</v>
      </c>
      <c r="U15" s="435">
        <v>0</v>
      </c>
      <c r="V15" s="435">
        <f>ROUND(U15*'Table 3 Levels 1&amp;2'!C17,0)</f>
        <v>0</v>
      </c>
      <c r="W15" s="435">
        <v>0</v>
      </c>
      <c r="X15" s="549">
        <f t="shared" si="9"/>
        <v>0</v>
      </c>
      <c r="Y15" s="570">
        <f t="shared" si="1"/>
        <v>1162931</v>
      </c>
    </row>
    <row r="16" spans="1:25" ht="12.75">
      <c r="A16" s="412">
        <v>11</v>
      </c>
      <c r="B16" s="599" t="s">
        <v>143</v>
      </c>
      <c r="C16" s="585">
        <f>'Table 3 Levels 1&amp;2'!AN18</f>
        <v>7994899</v>
      </c>
      <c r="D16" s="18">
        <f>ROUND(C16/'Table 3 Levels 1&amp;2'!C18,2)</f>
        <v>4419.51</v>
      </c>
      <c r="E16" s="433">
        <f t="shared" si="2"/>
        <v>7</v>
      </c>
      <c r="F16" s="18">
        <f>'[4]Table 3 Levels 1&amp;2'!AN19</f>
        <v>7670766</v>
      </c>
      <c r="G16" s="18">
        <f t="shared" si="0"/>
        <v>324133</v>
      </c>
      <c r="H16" s="17">
        <f t="shared" si="3"/>
        <v>324133</v>
      </c>
      <c r="I16" s="136">
        <f>ROUND(H16/+'Table 3 Levels 1&amp;2'!C18,0)</f>
        <v>179</v>
      </c>
      <c r="J16" s="136">
        <f t="shared" si="4"/>
        <v>0</v>
      </c>
      <c r="K16" s="586">
        <f t="shared" si="5"/>
        <v>0</v>
      </c>
      <c r="L16" s="136">
        <f>IF(J16&lt;0,0,(ROUND(D16*'Table 8 Membership'!Y18,0)*-1))</f>
        <v>0</v>
      </c>
      <c r="M16" s="17">
        <f t="shared" si="6"/>
        <v>324133</v>
      </c>
      <c r="N16" s="17">
        <f t="shared" si="10"/>
        <v>143295</v>
      </c>
      <c r="O16" s="498">
        <v>63930</v>
      </c>
      <c r="P16" s="107">
        <v>1828</v>
      </c>
      <c r="Q16" s="17">
        <f t="shared" si="7"/>
        <v>35</v>
      </c>
      <c r="R16" s="658">
        <f>ROUND(Q16*'Table 3 Levels 1&amp;2'!C18,0)</f>
        <v>63315</v>
      </c>
      <c r="S16" s="503">
        <v>0</v>
      </c>
      <c r="T16" s="548">
        <f t="shared" si="8"/>
        <v>0</v>
      </c>
      <c r="U16" s="217">
        <v>0</v>
      </c>
      <c r="V16" s="217">
        <f>ROUND(U16*'Table 3 Levels 1&amp;2'!C18,0)</f>
        <v>0</v>
      </c>
      <c r="W16" s="217">
        <v>0</v>
      </c>
      <c r="X16" s="548">
        <f t="shared" si="9"/>
        <v>0</v>
      </c>
      <c r="Y16" s="569">
        <f t="shared" si="1"/>
        <v>63315</v>
      </c>
    </row>
    <row r="17" spans="1:25" ht="12.75">
      <c r="A17" s="412">
        <v>12</v>
      </c>
      <c r="B17" s="599" t="s">
        <v>144</v>
      </c>
      <c r="C17" s="585">
        <f>'Table 3 Levels 1&amp;2'!AN19</f>
        <v>5981807</v>
      </c>
      <c r="D17" s="18">
        <f>ROUND(C17/'Table 3 Levels 1&amp;2'!C19,2)</f>
        <v>3231.66</v>
      </c>
      <c r="E17" s="433">
        <f t="shared" si="2"/>
        <v>51</v>
      </c>
      <c r="F17" s="18">
        <f>'[4]Table 3 Levels 1&amp;2'!AN20</f>
        <v>5891627</v>
      </c>
      <c r="G17" s="18">
        <f t="shared" si="0"/>
        <v>90180</v>
      </c>
      <c r="H17" s="17">
        <f t="shared" si="3"/>
        <v>90180</v>
      </c>
      <c r="I17" s="136">
        <f>ROUND(H17/+'Table 3 Levels 1&amp;2'!C19,0)</f>
        <v>49</v>
      </c>
      <c r="J17" s="136">
        <f t="shared" si="4"/>
        <v>0</v>
      </c>
      <c r="K17" s="586">
        <f t="shared" si="5"/>
        <v>0</v>
      </c>
      <c r="L17" s="136">
        <f>IF(J17&lt;0,0,(ROUND(D17*'Table 8 Membership'!Y19,0)*-1))</f>
        <v>0</v>
      </c>
      <c r="M17" s="17">
        <f t="shared" si="6"/>
        <v>90180</v>
      </c>
      <c r="N17" s="17">
        <f t="shared" si="10"/>
        <v>39867</v>
      </c>
      <c r="O17" s="498">
        <v>366504</v>
      </c>
      <c r="P17" s="107">
        <v>1885</v>
      </c>
      <c r="Q17" s="17">
        <f t="shared" si="7"/>
        <v>194</v>
      </c>
      <c r="R17" s="658">
        <f>ROUND(Q17*'Table 3 Levels 1&amp;2'!C19,0)</f>
        <v>359094</v>
      </c>
      <c r="S17" s="503">
        <v>2</v>
      </c>
      <c r="T17" s="548">
        <f>ROUND($T$4*S17,0)</f>
        <v>30102</v>
      </c>
      <c r="U17" s="217">
        <v>0</v>
      </c>
      <c r="V17" s="217">
        <f>ROUND(U17*'Table 3 Levels 1&amp;2'!C19,0)</f>
        <v>0</v>
      </c>
      <c r="W17" s="217">
        <v>0</v>
      </c>
      <c r="X17" s="548">
        <f t="shared" si="9"/>
        <v>0</v>
      </c>
      <c r="Y17" s="569">
        <f t="shared" si="1"/>
        <v>389196</v>
      </c>
    </row>
    <row r="18" spans="1:25" ht="12.75">
      <c r="A18" s="412">
        <v>13</v>
      </c>
      <c r="B18" s="599" t="s">
        <v>145</v>
      </c>
      <c r="C18" s="585">
        <f>'Table 3 Levels 1&amp;2'!AN20</f>
        <v>7790270</v>
      </c>
      <c r="D18" s="18">
        <f>ROUND(C18/'Table 3 Levels 1&amp;2'!C20,2)</f>
        <v>4381.48</v>
      </c>
      <c r="E18" s="433">
        <f t="shared" si="2"/>
        <v>8</v>
      </c>
      <c r="F18" s="18">
        <f>'[4]Table 3 Levels 1&amp;2'!AN21</f>
        <v>7722825</v>
      </c>
      <c r="G18" s="18">
        <f t="shared" si="0"/>
        <v>67445</v>
      </c>
      <c r="H18" s="17">
        <f t="shared" si="3"/>
        <v>67445</v>
      </c>
      <c r="I18" s="136">
        <f>ROUND(H18/+'Table 3 Levels 1&amp;2'!C20,0)</f>
        <v>38</v>
      </c>
      <c r="J18" s="136">
        <f t="shared" si="4"/>
        <v>0</v>
      </c>
      <c r="K18" s="586">
        <f t="shared" si="5"/>
        <v>0</v>
      </c>
      <c r="L18" s="136">
        <f>IF(J18&lt;0,0,(ROUND(D18*'Table 8 Membership'!Y20,0)*-1))</f>
        <v>0</v>
      </c>
      <c r="M18" s="17">
        <f t="shared" si="6"/>
        <v>67445</v>
      </c>
      <c r="N18" s="17">
        <f t="shared" si="10"/>
        <v>29817</v>
      </c>
      <c r="O18" s="498">
        <v>131371</v>
      </c>
      <c r="P18" s="107">
        <v>1813</v>
      </c>
      <c r="Q18" s="17">
        <f t="shared" si="7"/>
        <v>72</v>
      </c>
      <c r="R18" s="658">
        <f>ROUND(Q18*'Table 3 Levels 1&amp;2'!C20,0)</f>
        <v>128016</v>
      </c>
      <c r="S18" s="503">
        <v>0</v>
      </c>
      <c r="T18" s="548">
        <f t="shared" si="8"/>
        <v>0</v>
      </c>
      <c r="U18" s="217">
        <v>0</v>
      </c>
      <c r="V18" s="217">
        <f>ROUND(U18*'Table 3 Levels 1&amp;2'!C20,0)</f>
        <v>0</v>
      </c>
      <c r="W18" s="217">
        <v>0</v>
      </c>
      <c r="X18" s="548">
        <f t="shared" si="9"/>
        <v>0</v>
      </c>
      <c r="Y18" s="569">
        <f t="shared" si="1"/>
        <v>128016</v>
      </c>
    </row>
    <row r="19" spans="1:25" ht="12.75">
      <c r="A19" s="412">
        <v>14</v>
      </c>
      <c r="B19" s="599" t="s">
        <v>146</v>
      </c>
      <c r="C19" s="585">
        <f>'Table 3 Levels 1&amp;2'!AN21</f>
        <v>11965651</v>
      </c>
      <c r="D19" s="18">
        <f>ROUND(C19/'Table 3 Levels 1&amp;2'!C21,2)</f>
        <v>4441.59</v>
      </c>
      <c r="E19" s="433">
        <f t="shared" si="2"/>
        <v>6</v>
      </c>
      <c r="F19" s="18">
        <f>'[4]Table 3 Levels 1&amp;2'!AN22</f>
        <v>11046294</v>
      </c>
      <c r="G19" s="18">
        <f t="shared" si="0"/>
        <v>919357</v>
      </c>
      <c r="H19" s="17">
        <f t="shared" si="3"/>
        <v>919357</v>
      </c>
      <c r="I19" s="136">
        <f>ROUND(H19/+'Table 3 Levels 1&amp;2'!C21,0)</f>
        <v>341</v>
      </c>
      <c r="J19" s="136">
        <f t="shared" si="4"/>
        <v>0</v>
      </c>
      <c r="K19" s="586">
        <f t="shared" si="5"/>
        <v>0</v>
      </c>
      <c r="L19" s="136">
        <f>IF(J19&lt;0,0,(ROUND(D19*'Table 8 Membership'!Y21,0)*-1))</f>
        <v>0</v>
      </c>
      <c r="M19" s="17">
        <f t="shared" si="6"/>
        <v>919357</v>
      </c>
      <c r="N19" s="17">
        <f t="shared" si="10"/>
        <v>406435</v>
      </c>
      <c r="O19" s="498">
        <v>302672</v>
      </c>
      <c r="P19" s="107">
        <v>2712</v>
      </c>
      <c r="Q19" s="17">
        <f t="shared" si="7"/>
        <v>112</v>
      </c>
      <c r="R19" s="658">
        <f>ROUND(Q19*'Table 3 Levels 1&amp;2'!C21,0)</f>
        <v>301728</v>
      </c>
      <c r="S19" s="503">
        <v>0</v>
      </c>
      <c r="T19" s="548">
        <f t="shared" si="8"/>
        <v>0</v>
      </c>
      <c r="U19" s="217">
        <v>0</v>
      </c>
      <c r="V19" s="217">
        <f>ROUND(U19*'Table 3 Levels 1&amp;2'!C21,0)</f>
        <v>0</v>
      </c>
      <c r="W19" s="217">
        <v>0</v>
      </c>
      <c r="X19" s="548">
        <f t="shared" si="9"/>
        <v>0</v>
      </c>
      <c r="Y19" s="569">
        <f t="shared" si="1"/>
        <v>301728</v>
      </c>
    </row>
    <row r="20" spans="1:25" ht="12.75">
      <c r="A20" s="413">
        <v>15</v>
      </c>
      <c r="B20" s="600" t="s">
        <v>147</v>
      </c>
      <c r="C20" s="587">
        <f>'Table 3 Levels 1&amp;2'!AN22</f>
        <v>14852127</v>
      </c>
      <c r="D20" s="19">
        <f>ROUND(C20/'Table 3 Levels 1&amp;2'!C22,2)</f>
        <v>3986.08</v>
      </c>
      <c r="E20" s="434">
        <f t="shared" si="2"/>
        <v>26</v>
      </c>
      <c r="F20" s="19">
        <f>'[4]Table 3 Levels 1&amp;2'!AN23</f>
        <v>15386174</v>
      </c>
      <c r="G20" s="19">
        <f t="shared" si="0"/>
        <v>-534047</v>
      </c>
      <c r="H20" s="246">
        <f t="shared" si="3"/>
        <v>0</v>
      </c>
      <c r="I20" s="550">
        <f>ROUND(H20/+'Table 3 Levels 1&amp;2'!C22,0)</f>
        <v>0</v>
      </c>
      <c r="J20" s="550">
        <f t="shared" si="4"/>
        <v>-534047</v>
      </c>
      <c r="K20" s="588">
        <f t="shared" si="5"/>
        <v>1</v>
      </c>
      <c r="L20" s="550">
        <f>IF(J20&lt;0,0,(ROUND(D20*'Table 8 Membership'!Y22,0)*-1))</f>
        <v>0</v>
      </c>
      <c r="M20" s="246">
        <f t="shared" si="6"/>
        <v>0</v>
      </c>
      <c r="N20" s="246">
        <f t="shared" si="10"/>
        <v>0</v>
      </c>
      <c r="O20" s="499">
        <v>0</v>
      </c>
      <c r="P20" s="547">
        <v>3769</v>
      </c>
      <c r="Q20" s="246">
        <f t="shared" si="7"/>
        <v>0</v>
      </c>
      <c r="R20" s="659">
        <f>ROUND(Q20*'Table 3 Levels 1&amp;2'!C22,0)</f>
        <v>0</v>
      </c>
      <c r="S20" s="637">
        <v>3</v>
      </c>
      <c r="T20" s="549">
        <f>ROUND($T$4*S20,0)</f>
        <v>45153</v>
      </c>
      <c r="U20" s="435">
        <v>61</v>
      </c>
      <c r="V20" s="435">
        <f>ROUND(U20*'Table 3 Levels 1&amp;2'!C22,0)</f>
        <v>227286</v>
      </c>
      <c r="W20" s="435">
        <v>233545</v>
      </c>
      <c r="X20" s="549">
        <f t="shared" si="9"/>
        <v>227286</v>
      </c>
      <c r="Y20" s="570">
        <f t="shared" si="1"/>
        <v>272439</v>
      </c>
    </row>
    <row r="21" spans="1:25" ht="12.75">
      <c r="A21" s="412">
        <v>16</v>
      </c>
      <c r="B21" s="599" t="s">
        <v>148</v>
      </c>
      <c r="C21" s="585">
        <f>'Table 3 Levels 1&amp;2'!AN23</f>
        <v>19475557</v>
      </c>
      <c r="D21" s="18">
        <f>ROUND(C21/'Table 3 Levels 1&amp;2'!C23,2)</f>
        <v>4023.88</v>
      </c>
      <c r="E21" s="433">
        <f t="shared" si="2"/>
        <v>24</v>
      </c>
      <c r="F21" s="18">
        <f>'[4]Table 3 Levels 1&amp;2'!AN24</f>
        <v>18470566</v>
      </c>
      <c r="G21" s="18">
        <f t="shared" si="0"/>
        <v>1004991</v>
      </c>
      <c r="H21" s="17">
        <f t="shared" si="3"/>
        <v>1004991</v>
      </c>
      <c r="I21" s="136">
        <f>ROUND(H21/+'Table 3 Levels 1&amp;2'!C23,0)</f>
        <v>208</v>
      </c>
      <c r="J21" s="136">
        <f t="shared" si="4"/>
        <v>0</v>
      </c>
      <c r="K21" s="586">
        <f t="shared" si="5"/>
        <v>0</v>
      </c>
      <c r="L21" s="136">
        <f>IF(J21&lt;0,0,(ROUND(D21*'Table 8 Membership'!Y23,0)*-1))</f>
        <v>-96573</v>
      </c>
      <c r="M21" s="17">
        <f t="shared" si="6"/>
        <v>908418</v>
      </c>
      <c r="N21" s="17">
        <f t="shared" si="10"/>
        <v>401599</v>
      </c>
      <c r="O21" s="498">
        <v>0</v>
      </c>
      <c r="P21" s="107">
        <v>4810</v>
      </c>
      <c r="Q21" s="17">
        <f t="shared" si="7"/>
        <v>0</v>
      </c>
      <c r="R21" s="658">
        <f>ROUND(Q21*'Table 3 Levels 1&amp;2'!C23,0)</f>
        <v>0</v>
      </c>
      <c r="S21" s="503">
        <v>3</v>
      </c>
      <c r="T21" s="548">
        <f>ROUND($T$4*S21,0)</f>
        <v>45153</v>
      </c>
      <c r="U21" s="217">
        <v>0</v>
      </c>
      <c r="V21" s="217">
        <f>ROUND(U21*'Table 3 Levels 1&amp;2'!C23,0)</f>
        <v>0</v>
      </c>
      <c r="W21" s="217">
        <v>0</v>
      </c>
      <c r="X21" s="548">
        <f t="shared" si="9"/>
        <v>0</v>
      </c>
      <c r="Y21" s="569">
        <f t="shared" si="1"/>
        <v>45153</v>
      </c>
    </row>
    <row r="22" spans="1:25" ht="12.75">
      <c r="A22" s="412">
        <v>17</v>
      </c>
      <c r="B22" s="599" t="s">
        <v>149</v>
      </c>
      <c r="C22" s="585">
        <f>'Table 3 Levels 1&amp;2'!AN24</f>
        <v>104081837</v>
      </c>
      <c r="D22" s="18">
        <f>ROUND(C22/'Table 3 Levels 1&amp;2'!C24,2)</f>
        <v>2048.73</v>
      </c>
      <c r="E22" s="433">
        <f t="shared" si="2"/>
        <v>61</v>
      </c>
      <c r="F22" s="18">
        <f>'[4]Table 3 Levels 1&amp;2'!AN25</f>
        <v>102570508</v>
      </c>
      <c r="G22" s="18">
        <f t="shared" si="0"/>
        <v>1511329</v>
      </c>
      <c r="H22" s="17">
        <f t="shared" si="3"/>
        <v>1511329</v>
      </c>
      <c r="I22" s="136">
        <f>ROUND(H22/+'Table 3 Levels 1&amp;2'!C24,0)</f>
        <v>30</v>
      </c>
      <c r="J22" s="136">
        <f t="shared" si="4"/>
        <v>0</v>
      </c>
      <c r="K22" s="586">
        <f t="shared" si="5"/>
        <v>0</v>
      </c>
      <c r="L22" s="136">
        <f>IF(J22&lt;0,0,(ROUND(D22*'Table 8 Membership'!Y24,0)*-1))</f>
        <v>0</v>
      </c>
      <c r="M22" s="17">
        <f t="shared" si="6"/>
        <v>1511329</v>
      </c>
      <c r="N22" s="17">
        <f t="shared" si="10"/>
        <v>668138</v>
      </c>
      <c r="O22" s="498">
        <v>8473087</v>
      </c>
      <c r="P22" s="107">
        <v>51323</v>
      </c>
      <c r="Q22" s="17">
        <f t="shared" si="7"/>
        <v>165</v>
      </c>
      <c r="R22" s="658">
        <f>ROUND(Q22*'Table 3 Levels 1&amp;2'!C24,0)</f>
        <v>8382495</v>
      </c>
      <c r="S22" s="503">
        <v>8</v>
      </c>
      <c r="T22" s="548">
        <f>ROUND($T$4*S22,0)</f>
        <v>120409</v>
      </c>
      <c r="U22" s="217">
        <v>567</v>
      </c>
      <c r="V22" s="217">
        <f>ROUND(U22*'Table 3 Levels 1&amp;2'!C24,0)</f>
        <v>28805301</v>
      </c>
      <c r="W22" s="217">
        <v>30159360</v>
      </c>
      <c r="X22" s="548">
        <f t="shared" si="9"/>
        <v>28805301</v>
      </c>
      <c r="Y22" s="569">
        <f t="shared" si="1"/>
        <v>37308205</v>
      </c>
    </row>
    <row r="23" spans="1:25" ht="12.75">
      <c r="A23" s="412">
        <v>18</v>
      </c>
      <c r="B23" s="599" t="s">
        <v>150</v>
      </c>
      <c r="C23" s="585">
        <f>'Table 3 Levels 1&amp;2'!AN25</f>
        <v>7738439</v>
      </c>
      <c r="D23" s="18">
        <f>ROUND(C23/'Table 3 Levels 1&amp;2'!C25,2)</f>
        <v>4528.05</v>
      </c>
      <c r="E23" s="433">
        <f t="shared" si="2"/>
        <v>3</v>
      </c>
      <c r="F23" s="18">
        <f>'[4]Table 3 Levels 1&amp;2'!AN26</f>
        <v>7481658</v>
      </c>
      <c r="G23" s="18">
        <f t="shared" si="0"/>
        <v>256781</v>
      </c>
      <c r="H23" s="17">
        <f t="shared" si="3"/>
        <v>256781</v>
      </c>
      <c r="I23" s="136">
        <f>ROUND(H23/+'Table 3 Levels 1&amp;2'!C25,0)</f>
        <v>150</v>
      </c>
      <c r="J23" s="136">
        <f t="shared" si="4"/>
        <v>0</v>
      </c>
      <c r="K23" s="586">
        <f t="shared" si="5"/>
        <v>0</v>
      </c>
      <c r="L23" s="136">
        <f>IF(J23&lt;0,0,(ROUND(D23*'Table 8 Membership'!Y25,0)*-1))</f>
        <v>0</v>
      </c>
      <c r="M23" s="17">
        <f t="shared" si="6"/>
        <v>256781</v>
      </c>
      <c r="N23" s="17">
        <f t="shared" si="10"/>
        <v>113519</v>
      </c>
      <c r="O23" s="498">
        <v>134931</v>
      </c>
      <c r="P23" s="107">
        <v>1724</v>
      </c>
      <c r="Q23" s="17">
        <f t="shared" si="7"/>
        <v>78</v>
      </c>
      <c r="R23" s="658">
        <f>ROUND(Q23*'Table 3 Levels 1&amp;2'!C25,0)</f>
        <v>133302</v>
      </c>
      <c r="S23" s="503">
        <v>0</v>
      </c>
      <c r="T23" s="548">
        <f t="shared" si="8"/>
        <v>0</v>
      </c>
      <c r="U23" s="217">
        <v>0</v>
      </c>
      <c r="V23" s="217">
        <f>ROUND(U23*'Table 3 Levels 1&amp;2'!C25,0)</f>
        <v>0</v>
      </c>
      <c r="W23" s="217">
        <v>0</v>
      </c>
      <c r="X23" s="548">
        <f t="shared" si="9"/>
        <v>0</v>
      </c>
      <c r="Y23" s="569">
        <f t="shared" si="1"/>
        <v>133302</v>
      </c>
    </row>
    <row r="24" spans="1:25" ht="12.75">
      <c r="A24" s="412">
        <v>19</v>
      </c>
      <c r="B24" s="599" t="s">
        <v>151</v>
      </c>
      <c r="C24" s="585">
        <f>'Table 3 Levels 1&amp;2'!AN26</f>
        <v>10422561</v>
      </c>
      <c r="D24" s="18">
        <f>ROUND(C24/'Table 3 Levels 1&amp;2'!C26,2)</f>
        <v>4292.65</v>
      </c>
      <c r="E24" s="433">
        <f t="shared" si="2"/>
        <v>12</v>
      </c>
      <c r="F24" s="18">
        <f>'[4]Table 3 Levels 1&amp;2'!AN27</f>
        <v>10054165</v>
      </c>
      <c r="G24" s="18">
        <f t="shared" si="0"/>
        <v>368396</v>
      </c>
      <c r="H24" s="17">
        <f t="shared" si="3"/>
        <v>368396</v>
      </c>
      <c r="I24" s="136">
        <f>ROUND(H24/+'Table 3 Levels 1&amp;2'!C26,0)</f>
        <v>152</v>
      </c>
      <c r="J24" s="136">
        <f t="shared" si="4"/>
        <v>0</v>
      </c>
      <c r="K24" s="586">
        <f t="shared" si="5"/>
        <v>0</v>
      </c>
      <c r="L24" s="136">
        <f>IF(J24&lt;0,0,(ROUND(D24*'Table 8 Membership'!Y26,0)*-1))</f>
        <v>0</v>
      </c>
      <c r="M24" s="17">
        <f t="shared" si="6"/>
        <v>368396</v>
      </c>
      <c r="N24" s="17">
        <f t="shared" si="10"/>
        <v>162863</v>
      </c>
      <c r="O24" s="498">
        <v>405307</v>
      </c>
      <c r="P24" s="107">
        <v>2474</v>
      </c>
      <c r="Q24" s="17">
        <f t="shared" si="7"/>
        <v>164</v>
      </c>
      <c r="R24" s="658">
        <f>ROUND(Q24*'Table 3 Levels 1&amp;2'!C26,0)</f>
        <v>398192</v>
      </c>
      <c r="S24" s="503">
        <v>2</v>
      </c>
      <c r="T24" s="548">
        <f>ROUND($T$4*S24,0)</f>
        <v>30102</v>
      </c>
      <c r="U24" s="217">
        <v>0</v>
      </c>
      <c r="V24" s="217">
        <f>ROUND(U24*'Table 3 Levels 1&amp;2'!C26,0)</f>
        <v>0</v>
      </c>
      <c r="W24" s="217">
        <v>0</v>
      </c>
      <c r="X24" s="548">
        <f t="shared" si="9"/>
        <v>0</v>
      </c>
      <c r="Y24" s="569">
        <f t="shared" si="1"/>
        <v>428294</v>
      </c>
    </row>
    <row r="25" spans="1:25" ht="12.75">
      <c r="A25" s="413">
        <v>20</v>
      </c>
      <c r="B25" s="600" t="s">
        <v>152</v>
      </c>
      <c r="C25" s="587">
        <f>'Table 3 Levels 1&amp;2'!AN27</f>
        <v>26540172</v>
      </c>
      <c r="D25" s="19">
        <f>ROUND(C25/'Table 3 Levels 1&amp;2'!C27,2)</f>
        <v>4292.44</v>
      </c>
      <c r="E25" s="434">
        <f t="shared" si="2"/>
        <v>13</v>
      </c>
      <c r="F25" s="19">
        <f>'[4]Table 3 Levels 1&amp;2'!AN28</f>
        <v>23520864</v>
      </c>
      <c r="G25" s="19">
        <f t="shared" si="0"/>
        <v>3019308</v>
      </c>
      <c r="H25" s="246">
        <f t="shared" si="3"/>
        <v>3019308</v>
      </c>
      <c r="I25" s="550">
        <f>ROUND(H25/+'Table 3 Levels 1&amp;2'!C27,0)</f>
        <v>488</v>
      </c>
      <c r="J25" s="550">
        <f t="shared" si="4"/>
        <v>0</v>
      </c>
      <c r="K25" s="588">
        <f t="shared" si="5"/>
        <v>0</v>
      </c>
      <c r="L25" s="550">
        <f>IF(J25&lt;0,0,(ROUND(D25*'Table 8 Membership'!Y27,0)*-1))</f>
        <v>0</v>
      </c>
      <c r="M25" s="246">
        <f t="shared" si="6"/>
        <v>3019308</v>
      </c>
      <c r="N25" s="246">
        <f t="shared" si="10"/>
        <v>1334796</v>
      </c>
      <c r="O25" s="499">
        <v>0</v>
      </c>
      <c r="P25" s="547">
        <v>6232</v>
      </c>
      <c r="Q25" s="246">
        <f t="shared" si="7"/>
        <v>0</v>
      </c>
      <c r="R25" s="659">
        <f>ROUND(Q25*'Table 3 Levels 1&amp;2'!C27,0)</f>
        <v>0</v>
      </c>
      <c r="S25" s="637">
        <v>0</v>
      </c>
      <c r="T25" s="549">
        <f t="shared" si="8"/>
        <v>0</v>
      </c>
      <c r="U25" s="435">
        <v>30</v>
      </c>
      <c r="V25" s="435">
        <f>ROUND(U25*'Table 3 Levels 1&amp;2'!C27,0)</f>
        <v>185490</v>
      </c>
      <c r="W25" s="435">
        <v>190543</v>
      </c>
      <c r="X25" s="549">
        <f t="shared" si="9"/>
        <v>185490</v>
      </c>
      <c r="Y25" s="570">
        <f t="shared" si="1"/>
        <v>185490</v>
      </c>
    </row>
    <row r="26" spans="1:25" ht="12.75">
      <c r="A26" s="412">
        <v>21</v>
      </c>
      <c r="B26" s="599" t="s">
        <v>153</v>
      </c>
      <c r="C26" s="585">
        <f>'Table 3 Levels 1&amp;2'!AN28</f>
        <v>14552551</v>
      </c>
      <c r="D26" s="18">
        <f>ROUND(C26/'Table 3 Levels 1&amp;2'!C28,2)</f>
        <v>3931</v>
      </c>
      <c r="E26" s="433">
        <f t="shared" si="2"/>
        <v>30</v>
      </c>
      <c r="F26" s="18">
        <f>'[4]Table 3 Levels 1&amp;2'!AN29</f>
        <v>14150088</v>
      </c>
      <c r="G26" s="18">
        <f t="shared" si="0"/>
        <v>402463</v>
      </c>
      <c r="H26" s="17">
        <f t="shared" si="3"/>
        <v>402463</v>
      </c>
      <c r="I26" s="136">
        <f>ROUND(H26/+'Table 3 Levels 1&amp;2'!C28,0)</f>
        <v>109</v>
      </c>
      <c r="J26" s="136">
        <f t="shared" si="4"/>
        <v>0</v>
      </c>
      <c r="K26" s="586">
        <f t="shared" si="5"/>
        <v>0</v>
      </c>
      <c r="L26" s="136">
        <f>IF(J26&lt;0,0,(ROUND(D26*'Table 8 Membership'!Y28,0)*-1))</f>
        <v>0</v>
      </c>
      <c r="M26" s="17">
        <f t="shared" si="6"/>
        <v>402463</v>
      </c>
      <c r="N26" s="17">
        <f t="shared" si="10"/>
        <v>177924</v>
      </c>
      <c r="O26" s="498">
        <v>315749</v>
      </c>
      <c r="P26" s="107">
        <v>3719</v>
      </c>
      <c r="Q26" s="17">
        <f t="shared" si="7"/>
        <v>85</v>
      </c>
      <c r="R26" s="658">
        <f>ROUND(Q26*'Table 3 Levels 1&amp;2'!C28,0)</f>
        <v>314670</v>
      </c>
      <c r="S26" s="503">
        <v>0</v>
      </c>
      <c r="T26" s="548">
        <f t="shared" si="8"/>
        <v>0</v>
      </c>
      <c r="U26" s="217">
        <v>0</v>
      </c>
      <c r="V26" s="217">
        <f>ROUND(U26*'Table 3 Levels 1&amp;2'!C28,0)</f>
        <v>0</v>
      </c>
      <c r="W26" s="217">
        <v>0</v>
      </c>
      <c r="X26" s="548">
        <f t="shared" si="9"/>
        <v>0</v>
      </c>
      <c r="Y26" s="569">
        <f t="shared" si="1"/>
        <v>314670</v>
      </c>
    </row>
    <row r="27" spans="1:25" ht="12.75">
      <c r="A27" s="412">
        <v>22</v>
      </c>
      <c r="B27" s="599" t="s">
        <v>154</v>
      </c>
      <c r="C27" s="585">
        <f>'Table 3 Levels 1&amp;2'!AN29</f>
        <v>15986167</v>
      </c>
      <c r="D27" s="18">
        <f>ROUND(C27/'Table 3 Levels 1&amp;2'!C29,2)</f>
        <v>4475.41</v>
      </c>
      <c r="E27" s="433">
        <f t="shared" si="2"/>
        <v>5</v>
      </c>
      <c r="F27" s="18">
        <f>'[4]Table 3 Levels 1&amp;2'!AN30</f>
        <v>15606710</v>
      </c>
      <c r="G27" s="18">
        <f t="shared" si="0"/>
        <v>379457</v>
      </c>
      <c r="H27" s="17">
        <f t="shared" si="3"/>
        <v>379457</v>
      </c>
      <c r="I27" s="136">
        <f>ROUND(H27/+'Table 3 Levels 1&amp;2'!C29,0)</f>
        <v>106</v>
      </c>
      <c r="J27" s="136">
        <f t="shared" si="4"/>
        <v>0</v>
      </c>
      <c r="K27" s="586">
        <f t="shared" si="5"/>
        <v>0</v>
      </c>
      <c r="L27" s="136">
        <f>IF(J27&lt;0,0,(ROUND(D27*'Table 8 Membership'!Y29,0)*-1))</f>
        <v>0</v>
      </c>
      <c r="M27" s="17">
        <f t="shared" si="6"/>
        <v>379457</v>
      </c>
      <c r="N27" s="17">
        <f t="shared" si="10"/>
        <v>167753</v>
      </c>
      <c r="O27" s="498">
        <v>0</v>
      </c>
      <c r="P27" s="107">
        <v>3597</v>
      </c>
      <c r="Q27" s="17">
        <f t="shared" si="7"/>
        <v>0</v>
      </c>
      <c r="R27" s="658">
        <f>ROUND(Q27*'Table 3 Levels 1&amp;2'!C29,0)</f>
        <v>0</v>
      </c>
      <c r="S27" s="503">
        <v>0</v>
      </c>
      <c r="T27" s="548">
        <f t="shared" si="8"/>
        <v>0</v>
      </c>
      <c r="U27" s="217">
        <v>0</v>
      </c>
      <c r="V27" s="217">
        <f>ROUND(U27*'Table 3 Levels 1&amp;2'!C29,0)</f>
        <v>0</v>
      </c>
      <c r="W27" s="217">
        <v>0</v>
      </c>
      <c r="X27" s="548">
        <f t="shared" si="9"/>
        <v>0</v>
      </c>
      <c r="Y27" s="569">
        <f t="shared" si="1"/>
        <v>0</v>
      </c>
    </row>
    <row r="28" spans="1:25" ht="12.75">
      <c r="A28" s="412">
        <v>23</v>
      </c>
      <c r="B28" s="599" t="s">
        <v>155</v>
      </c>
      <c r="C28" s="585">
        <f>'Table 3 Levels 1&amp;2'!AN30</f>
        <v>54163661</v>
      </c>
      <c r="D28" s="18">
        <f>ROUND(C28/'Table 3 Levels 1&amp;2'!C30,2)</f>
        <v>3857.26</v>
      </c>
      <c r="E28" s="433">
        <f t="shared" si="2"/>
        <v>33</v>
      </c>
      <c r="F28" s="18">
        <f>'[4]Table 3 Levels 1&amp;2'!AN31</f>
        <v>53886085</v>
      </c>
      <c r="G28" s="18">
        <f t="shared" si="0"/>
        <v>277576</v>
      </c>
      <c r="H28" s="17">
        <f t="shared" si="3"/>
        <v>277576</v>
      </c>
      <c r="I28" s="136">
        <f>ROUND(H28/+'Table 3 Levels 1&amp;2'!C30,0)</f>
        <v>20</v>
      </c>
      <c r="J28" s="136">
        <f t="shared" si="4"/>
        <v>0</v>
      </c>
      <c r="K28" s="586">
        <f t="shared" si="5"/>
        <v>0</v>
      </c>
      <c r="L28" s="136">
        <f>IF(J28&lt;0,0,(ROUND(D28*'Table 8 Membership'!Y30,0)*-1))</f>
        <v>0</v>
      </c>
      <c r="M28" s="17">
        <f t="shared" si="6"/>
        <v>277576</v>
      </c>
      <c r="N28" s="17">
        <f t="shared" si="10"/>
        <v>122713</v>
      </c>
      <c r="O28" s="498">
        <v>901801</v>
      </c>
      <c r="P28" s="107">
        <v>14348</v>
      </c>
      <c r="Q28" s="17">
        <f t="shared" si="7"/>
        <v>63</v>
      </c>
      <c r="R28" s="658">
        <f>ROUND(Q28*'Table 3 Levels 1&amp;2'!C30,0)</f>
        <v>884646</v>
      </c>
      <c r="S28" s="503">
        <v>1</v>
      </c>
      <c r="T28" s="548">
        <f t="shared" si="8"/>
        <v>15051</v>
      </c>
      <c r="U28" s="217">
        <v>0</v>
      </c>
      <c r="V28" s="217">
        <f>ROUND(U28*'Table 3 Levels 1&amp;2'!C30,0)</f>
        <v>0</v>
      </c>
      <c r="W28" s="217">
        <v>0</v>
      </c>
      <c r="X28" s="548">
        <f t="shared" si="9"/>
        <v>0</v>
      </c>
      <c r="Y28" s="569">
        <f t="shared" si="1"/>
        <v>899697</v>
      </c>
    </row>
    <row r="29" spans="1:25" ht="12.75">
      <c r="A29" s="412">
        <v>24</v>
      </c>
      <c r="B29" s="599" t="s">
        <v>156</v>
      </c>
      <c r="C29" s="585">
        <f>'Table 3 Levels 1&amp;2'!AN31</f>
        <v>7511992</v>
      </c>
      <c r="D29" s="18">
        <f>ROUND(C29/'Table 3 Levels 1&amp;2'!C31,2)</f>
        <v>1644.84</v>
      </c>
      <c r="E29" s="433">
        <f t="shared" si="2"/>
        <v>63</v>
      </c>
      <c r="F29" s="18">
        <f>'[4]Table 3 Levels 1&amp;2'!AN32</f>
        <v>9604191</v>
      </c>
      <c r="G29" s="18">
        <f t="shared" si="0"/>
        <v>-2092199</v>
      </c>
      <c r="H29" s="17">
        <f t="shared" si="3"/>
        <v>0</v>
      </c>
      <c r="I29" s="136">
        <f>ROUND(H29/+'Table 3 Levels 1&amp;2'!C31,0)</f>
        <v>0</v>
      </c>
      <c r="J29" s="136">
        <f t="shared" si="4"/>
        <v>-2092199</v>
      </c>
      <c r="K29" s="586">
        <f t="shared" si="5"/>
        <v>1</v>
      </c>
      <c r="L29" s="136">
        <f>IF(J29&lt;0,0,(ROUND(D29*'Table 8 Membership'!Y31,0)*-1))</f>
        <v>0</v>
      </c>
      <c r="M29" s="17">
        <f t="shared" si="6"/>
        <v>0</v>
      </c>
      <c r="N29" s="17">
        <f t="shared" si="10"/>
        <v>0</v>
      </c>
      <c r="O29" s="498">
        <v>815110</v>
      </c>
      <c r="P29" s="107">
        <v>4773</v>
      </c>
      <c r="Q29" s="17">
        <f t="shared" si="7"/>
        <v>171</v>
      </c>
      <c r="R29" s="658">
        <f>ROUND(Q29*'Table 3 Levels 1&amp;2'!C31,0)</f>
        <v>780957</v>
      </c>
      <c r="S29" s="503">
        <v>0</v>
      </c>
      <c r="T29" s="548">
        <f>ROUND($T$4*S29,0)</f>
        <v>0</v>
      </c>
      <c r="U29" s="217">
        <v>586</v>
      </c>
      <c r="V29" s="217">
        <f>ROUND(U29*'Table 3 Levels 1&amp;2'!C31,0)</f>
        <v>2676262</v>
      </c>
      <c r="W29" s="217">
        <v>2883789</v>
      </c>
      <c r="X29" s="548">
        <f t="shared" si="9"/>
        <v>2676262</v>
      </c>
      <c r="Y29" s="569">
        <f t="shared" si="1"/>
        <v>3457219</v>
      </c>
    </row>
    <row r="30" spans="1:25" ht="12.75">
      <c r="A30" s="413">
        <v>25</v>
      </c>
      <c r="B30" s="600" t="s">
        <v>157</v>
      </c>
      <c r="C30" s="587">
        <f>'Table 3 Levels 1&amp;2'!AN32</f>
        <v>10106816</v>
      </c>
      <c r="D30" s="19">
        <f>ROUND(C30/'Table 3 Levels 1&amp;2'!C32,2)</f>
        <v>4154.06</v>
      </c>
      <c r="E30" s="434">
        <f t="shared" si="2"/>
        <v>20</v>
      </c>
      <c r="F30" s="19">
        <f>'[4]Table 3 Levels 1&amp;2'!AN33</f>
        <v>10517223</v>
      </c>
      <c r="G30" s="19">
        <f t="shared" si="0"/>
        <v>-410407</v>
      </c>
      <c r="H30" s="246">
        <f t="shared" si="3"/>
        <v>0</v>
      </c>
      <c r="I30" s="550">
        <f>ROUND(H30/+'Table 3 Levels 1&amp;2'!C32,0)</f>
        <v>0</v>
      </c>
      <c r="J30" s="550">
        <f t="shared" si="4"/>
        <v>-410407</v>
      </c>
      <c r="K30" s="588">
        <f t="shared" si="5"/>
        <v>1</v>
      </c>
      <c r="L30" s="550">
        <f>IF(J30&lt;0,0,(ROUND(D30*'Table 8 Membership'!Y32,0)*-1))</f>
        <v>0</v>
      </c>
      <c r="M30" s="246">
        <f t="shared" si="6"/>
        <v>0</v>
      </c>
      <c r="N30" s="246">
        <f t="shared" si="10"/>
        <v>0</v>
      </c>
      <c r="O30" s="499">
        <v>0</v>
      </c>
      <c r="P30" s="547">
        <v>2523</v>
      </c>
      <c r="Q30" s="246">
        <f t="shared" si="7"/>
        <v>0</v>
      </c>
      <c r="R30" s="659">
        <f>ROUND(Q30*'Table 3 Levels 1&amp;2'!C32,0)</f>
        <v>0</v>
      </c>
      <c r="S30" s="637">
        <v>2</v>
      </c>
      <c r="T30" s="549">
        <f>ROUND($T$4*S30,0)</f>
        <v>30102</v>
      </c>
      <c r="U30" s="435">
        <v>0</v>
      </c>
      <c r="V30" s="435">
        <f>ROUND(U30*'Table 3 Levels 1&amp;2'!C32,0)</f>
        <v>0</v>
      </c>
      <c r="W30" s="435">
        <v>0</v>
      </c>
      <c r="X30" s="549">
        <f t="shared" si="9"/>
        <v>0</v>
      </c>
      <c r="Y30" s="570">
        <f t="shared" si="1"/>
        <v>30102</v>
      </c>
    </row>
    <row r="31" spans="1:25" ht="12.75">
      <c r="A31" s="412">
        <v>26</v>
      </c>
      <c r="B31" s="599" t="s">
        <v>158</v>
      </c>
      <c r="C31" s="585">
        <f>'Table 3 Levels 1&amp;2'!AN33</f>
        <v>102483250</v>
      </c>
      <c r="D31" s="18">
        <f>ROUND(C31/'Table 3 Levels 1&amp;2'!C33,2)</f>
        <v>2052.5</v>
      </c>
      <c r="E31" s="433">
        <f t="shared" si="2"/>
        <v>60</v>
      </c>
      <c r="F31" s="18">
        <f>'[4]Table 3 Levels 1&amp;2'!AN34</f>
        <v>94767001</v>
      </c>
      <c r="G31" s="18">
        <f t="shared" si="0"/>
        <v>7716249</v>
      </c>
      <c r="H31" s="17">
        <f t="shared" si="3"/>
        <v>7716249</v>
      </c>
      <c r="I31" s="136">
        <f>ROUND(H31/+'Table 3 Levels 1&amp;2'!C33,0)</f>
        <v>155</v>
      </c>
      <c r="J31" s="136">
        <f t="shared" si="4"/>
        <v>0</v>
      </c>
      <c r="K31" s="586">
        <f t="shared" si="5"/>
        <v>0</v>
      </c>
      <c r="L31" s="136">
        <f>IF(J31&lt;0,0,(ROUND(D31*'Table 8 Membership'!Y33,0)*-1))</f>
        <v>0</v>
      </c>
      <c r="M31" s="17">
        <f t="shared" si="6"/>
        <v>7716249</v>
      </c>
      <c r="N31" s="17">
        <f t="shared" si="10"/>
        <v>3411251</v>
      </c>
      <c r="O31" s="498">
        <v>5822745</v>
      </c>
      <c r="P31" s="107">
        <v>50169</v>
      </c>
      <c r="Q31" s="17">
        <f t="shared" si="7"/>
        <v>116</v>
      </c>
      <c r="R31" s="658">
        <f>ROUND(Q31*'Table 3 Levels 1&amp;2'!C33,0)</f>
        <v>5791996</v>
      </c>
      <c r="S31" s="503">
        <v>3</v>
      </c>
      <c r="T31" s="548">
        <f>ROUND($T$4*S31,0)</f>
        <v>45153</v>
      </c>
      <c r="U31" s="217">
        <v>523</v>
      </c>
      <c r="V31" s="217">
        <f>ROUND(U31*'Table 3 Levels 1&amp;2'!C33,0)</f>
        <v>26113913</v>
      </c>
      <c r="W31" s="217">
        <v>26333892</v>
      </c>
      <c r="X31" s="548">
        <f t="shared" si="9"/>
        <v>26113913</v>
      </c>
      <c r="Y31" s="569">
        <f t="shared" si="1"/>
        <v>31951062</v>
      </c>
    </row>
    <row r="32" spans="1:25" ht="12.75">
      <c r="A32" s="412">
        <v>27</v>
      </c>
      <c r="B32" s="599" t="s">
        <v>159</v>
      </c>
      <c r="C32" s="585">
        <f>'Table 3 Levels 1&amp;2'!AN34</f>
        <v>24072832</v>
      </c>
      <c r="D32" s="18">
        <f>ROUND(C32/'Table 3 Levels 1&amp;2'!C34,2)</f>
        <v>4228.5</v>
      </c>
      <c r="E32" s="433">
        <f t="shared" si="2"/>
        <v>17</v>
      </c>
      <c r="F32" s="18">
        <f>'[4]Table 3 Levels 1&amp;2'!AN35</f>
        <v>22605241</v>
      </c>
      <c r="G32" s="18">
        <f t="shared" si="0"/>
        <v>1467591</v>
      </c>
      <c r="H32" s="17">
        <f t="shared" si="3"/>
        <v>1467591</v>
      </c>
      <c r="I32" s="136">
        <f>ROUND(H32/+'Table 3 Levels 1&amp;2'!C34,0)</f>
        <v>258</v>
      </c>
      <c r="J32" s="136">
        <f t="shared" si="4"/>
        <v>0</v>
      </c>
      <c r="K32" s="586">
        <f t="shared" si="5"/>
        <v>0</v>
      </c>
      <c r="L32" s="136">
        <f>IF(J32&lt;0,0,(ROUND(D32*'Table 8 Membership'!Y34,0)*-1))</f>
        <v>0</v>
      </c>
      <c r="M32" s="17">
        <f t="shared" si="6"/>
        <v>1467591</v>
      </c>
      <c r="N32" s="17">
        <f t="shared" si="10"/>
        <v>648802</v>
      </c>
      <c r="O32" s="498">
        <v>427770</v>
      </c>
      <c r="P32" s="107">
        <v>5740</v>
      </c>
      <c r="Q32" s="17">
        <f t="shared" si="7"/>
        <v>75</v>
      </c>
      <c r="R32" s="658">
        <f>ROUND(Q32*'Table 3 Levels 1&amp;2'!C34,0)</f>
        <v>426975</v>
      </c>
      <c r="S32" s="503">
        <v>4</v>
      </c>
      <c r="T32" s="548">
        <f>ROUND($T$4*S32,0)</f>
        <v>60204</v>
      </c>
      <c r="U32" s="217">
        <v>0</v>
      </c>
      <c r="V32" s="217">
        <f>ROUND(U32*'Table 3 Levels 1&amp;2'!C34,0)</f>
        <v>0</v>
      </c>
      <c r="W32" s="217">
        <v>0</v>
      </c>
      <c r="X32" s="548">
        <f t="shared" si="9"/>
        <v>0</v>
      </c>
      <c r="Y32" s="569">
        <f t="shared" si="1"/>
        <v>487179</v>
      </c>
    </row>
    <row r="33" spans="1:25" ht="12.75">
      <c r="A33" s="412">
        <v>28</v>
      </c>
      <c r="B33" s="599" t="s">
        <v>160</v>
      </c>
      <c r="C33" s="585">
        <f>'Table 3 Levels 1&amp;2'!AN35</f>
        <v>72794697</v>
      </c>
      <c r="D33" s="18">
        <f>ROUND(C33/'Table 3 Levels 1&amp;2'!C35,2)</f>
        <v>2515.97</v>
      </c>
      <c r="E33" s="433">
        <f t="shared" si="2"/>
        <v>58</v>
      </c>
      <c r="F33" s="18">
        <f>'[4]Table 3 Levels 1&amp;2'!AN36</f>
        <v>68943893</v>
      </c>
      <c r="G33" s="18">
        <f t="shared" si="0"/>
        <v>3850804</v>
      </c>
      <c r="H33" s="17">
        <f t="shared" si="3"/>
        <v>3850804</v>
      </c>
      <c r="I33" s="136">
        <f>ROUND(H33/+'Table 3 Levels 1&amp;2'!C35,0)</f>
        <v>133</v>
      </c>
      <c r="J33" s="136">
        <f t="shared" si="4"/>
        <v>0</v>
      </c>
      <c r="K33" s="586">
        <f t="shared" si="5"/>
        <v>0</v>
      </c>
      <c r="L33" s="136">
        <f>IF(J33&lt;0,0,(ROUND(D33*'Table 8 Membership'!Y35,0)*-1))</f>
        <v>0</v>
      </c>
      <c r="M33" s="17">
        <f t="shared" si="6"/>
        <v>3850804</v>
      </c>
      <c r="N33" s="17">
        <f t="shared" si="10"/>
        <v>1702389</v>
      </c>
      <c r="O33" s="498">
        <v>2146647</v>
      </c>
      <c r="P33" s="107">
        <v>29110</v>
      </c>
      <c r="Q33" s="17">
        <f t="shared" si="7"/>
        <v>74</v>
      </c>
      <c r="R33" s="658">
        <f>ROUND(Q33*'Table 3 Levels 1&amp;2'!C35,0)</f>
        <v>2141042</v>
      </c>
      <c r="S33" s="503">
        <v>31</v>
      </c>
      <c r="T33" s="548">
        <f>ROUND($T$4*S33,0)</f>
        <v>466583</v>
      </c>
      <c r="U33" s="217">
        <v>69</v>
      </c>
      <c r="V33" s="217">
        <f>ROUND(U33*'Table 3 Levels 1&amp;2'!C35,0)</f>
        <v>1996377</v>
      </c>
      <c r="W33" s="217">
        <v>2002961</v>
      </c>
      <c r="X33" s="548">
        <f t="shared" si="9"/>
        <v>1996377</v>
      </c>
      <c r="Y33" s="569">
        <f t="shared" si="1"/>
        <v>4604002</v>
      </c>
    </row>
    <row r="34" spans="1:25" ht="12.75">
      <c r="A34" s="412">
        <v>29</v>
      </c>
      <c r="B34" s="599" t="s">
        <v>161</v>
      </c>
      <c r="C34" s="585">
        <f>'Table 3 Levels 1&amp;2'!AN36</f>
        <v>53612679</v>
      </c>
      <c r="D34" s="18">
        <f>ROUND(C34/'Table 3 Levels 1&amp;2'!C36,2)</f>
        <v>3565.62</v>
      </c>
      <c r="E34" s="433">
        <f t="shared" si="2"/>
        <v>42</v>
      </c>
      <c r="F34" s="18">
        <f>'[4]Table 3 Levels 1&amp;2'!AN37</f>
        <v>52822713</v>
      </c>
      <c r="G34" s="18">
        <f t="shared" si="0"/>
        <v>789966</v>
      </c>
      <c r="H34" s="17">
        <f t="shared" si="3"/>
        <v>789966</v>
      </c>
      <c r="I34" s="136">
        <f>ROUND(H34/+'Table 3 Levels 1&amp;2'!C36,0)</f>
        <v>53</v>
      </c>
      <c r="J34" s="136">
        <f t="shared" si="4"/>
        <v>0</v>
      </c>
      <c r="K34" s="586">
        <f t="shared" si="5"/>
        <v>0</v>
      </c>
      <c r="L34" s="136">
        <f>IF(J34&lt;0,0,(ROUND(D34*'Table 8 Membership'!Y36,0)*-1))</f>
        <v>0</v>
      </c>
      <c r="M34" s="17">
        <f t="shared" si="6"/>
        <v>789966</v>
      </c>
      <c r="N34" s="17">
        <f t="shared" si="10"/>
        <v>349233</v>
      </c>
      <c r="O34" s="498">
        <v>1263093</v>
      </c>
      <c r="P34" s="107">
        <v>15071</v>
      </c>
      <c r="Q34" s="17">
        <f t="shared" si="7"/>
        <v>84</v>
      </c>
      <c r="R34" s="658">
        <f>ROUND(Q34*'Table 3 Levels 1&amp;2'!C36,0)</f>
        <v>1263024</v>
      </c>
      <c r="S34" s="503">
        <v>42</v>
      </c>
      <c r="T34" s="548">
        <f>ROUND($T$4*S34,0)+3</f>
        <v>632148</v>
      </c>
      <c r="U34" s="217">
        <v>0</v>
      </c>
      <c r="V34" s="217">
        <f>ROUND(U34*'Table 3 Levels 1&amp;2'!C36,0)</f>
        <v>0</v>
      </c>
      <c r="W34" s="217">
        <v>0</v>
      </c>
      <c r="X34" s="548">
        <f t="shared" si="9"/>
        <v>0</v>
      </c>
      <c r="Y34" s="569">
        <f t="shared" si="1"/>
        <v>1895172</v>
      </c>
    </row>
    <row r="35" spans="1:25" ht="12.75">
      <c r="A35" s="413">
        <v>30</v>
      </c>
      <c r="B35" s="600" t="s">
        <v>162</v>
      </c>
      <c r="C35" s="587">
        <f>'Table 3 Levels 1&amp;2'!AN37</f>
        <v>10677596</v>
      </c>
      <c r="D35" s="19">
        <f>ROUND(C35/'Table 3 Levels 1&amp;2'!C37,2)</f>
        <v>4188.94</v>
      </c>
      <c r="E35" s="434">
        <f t="shared" si="2"/>
        <v>19</v>
      </c>
      <c r="F35" s="19">
        <f>'[4]Table 3 Levels 1&amp;2'!AN38</f>
        <v>10077194</v>
      </c>
      <c r="G35" s="19">
        <f t="shared" si="0"/>
        <v>600402</v>
      </c>
      <c r="H35" s="246">
        <f t="shared" si="3"/>
        <v>600402</v>
      </c>
      <c r="I35" s="550">
        <f>ROUND(H35/+'Table 3 Levels 1&amp;2'!C37,0)</f>
        <v>236</v>
      </c>
      <c r="J35" s="550">
        <f t="shared" si="4"/>
        <v>0</v>
      </c>
      <c r="K35" s="588">
        <f t="shared" si="5"/>
        <v>0</v>
      </c>
      <c r="L35" s="550">
        <f>IF(J35&lt;0,0,(ROUND(D35*'Table 8 Membership'!Y37,0)*-1))</f>
        <v>-50267</v>
      </c>
      <c r="M35" s="246">
        <f t="shared" si="6"/>
        <v>550135</v>
      </c>
      <c r="N35" s="246">
        <f t="shared" si="10"/>
        <v>243207</v>
      </c>
      <c r="O35" s="499">
        <v>236862</v>
      </c>
      <c r="P35" s="547">
        <v>2537</v>
      </c>
      <c r="Q35" s="246">
        <f t="shared" si="7"/>
        <v>93</v>
      </c>
      <c r="R35" s="659">
        <f>ROUND(Q35*'Table 3 Levels 1&amp;2'!C37,0)</f>
        <v>237057</v>
      </c>
      <c r="S35" s="637">
        <v>0</v>
      </c>
      <c r="T35" s="549">
        <f t="shared" si="8"/>
        <v>0</v>
      </c>
      <c r="U35" s="435">
        <v>0</v>
      </c>
      <c r="V35" s="435">
        <f>ROUND(U35*'Table 3 Levels 1&amp;2'!C37,0)</f>
        <v>0</v>
      </c>
      <c r="W35" s="435">
        <v>0</v>
      </c>
      <c r="X35" s="549">
        <f t="shared" si="9"/>
        <v>0</v>
      </c>
      <c r="Y35" s="570">
        <f t="shared" si="1"/>
        <v>237057</v>
      </c>
    </row>
    <row r="36" spans="1:25" ht="12.75">
      <c r="A36" s="412">
        <v>31</v>
      </c>
      <c r="B36" s="599" t="s">
        <v>163</v>
      </c>
      <c r="C36" s="585">
        <f>'Table 3 Levels 1&amp;2'!AN38</f>
        <v>22787164</v>
      </c>
      <c r="D36" s="18">
        <f>ROUND(C36/'Table 3 Levels 1&amp;2'!C38,2)</f>
        <v>3478.96</v>
      </c>
      <c r="E36" s="433">
        <f t="shared" si="2"/>
        <v>46</v>
      </c>
      <c r="F36" s="18">
        <f>'[4]Table 3 Levels 1&amp;2'!AN39</f>
        <v>22713703</v>
      </c>
      <c r="G36" s="18">
        <f t="shared" si="0"/>
        <v>73461</v>
      </c>
      <c r="H36" s="17">
        <f t="shared" si="3"/>
        <v>73461</v>
      </c>
      <c r="I36" s="136">
        <f>ROUND(H36/+'Table 3 Levels 1&amp;2'!C38,0)</f>
        <v>11</v>
      </c>
      <c r="J36" s="136">
        <f t="shared" si="4"/>
        <v>0</v>
      </c>
      <c r="K36" s="586">
        <f t="shared" si="5"/>
        <v>0</v>
      </c>
      <c r="L36" s="136">
        <f>IF(J36&lt;0,0,(ROUND(D36*'Table 8 Membership'!Y38,0)*-1))</f>
        <v>0</v>
      </c>
      <c r="M36" s="17">
        <f t="shared" si="6"/>
        <v>73461</v>
      </c>
      <c r="N36" s="17">
        <f t="shared" si="10"/>
        <v>32476</v>
      </c>
      <c r="O36" s="498">
        <v>0</v>
      </c>
      <c r="P36" s="107">
        <v>6602</v>
      </c>
      <c r="Q36" s="17">
        <f t="shared" si="7"/>
        <v>0</v>
      </c>
      <c r="R36" s="658">
        <f>ROUND(Q36*'Table 3 Levels 1&amp;2'!C38,0)</f>
        <v>0</v>
      </c>
      <c r="S36" s="503">
        <v>4</v>
      </c>
      <c r="T36" s="548">
        <f>ROUND($T$4*S36,0)</f>
        <v>60204</v>
      </c>
      <c r="U36" s="217">
        <v>0</v>
      </c>
      <c r="V36" s="217">
        <f>ROUND(U36*'Table 3 Levels 1&amp;2'!C38,0)</f>
        <v>0</v>
      </c>
      <c r="W36" s="217">
        <v>0</v>
      </c>
      <c r="X36" s="548">
        <f t="shared" si="9"/>
        <v>0</v>
      </c>
      <c r="Y36" s="569">
        <f t="shared" si="1"/>
        <v>60204</v>
      </c>
    </row>
    <row r="37" spans="1:25" ht="12.75">
      <c r="A37" s="412">
        <v>32</v>
      </c>
      <c r="B37" s="599" t="s">
        <v>164</v>
      </c>
      <c r="C37" s="585">
        <f>'Table 3 Levels 1&amp;2'!AN39</f>
        <v>81816441</v>
      </c>
      <c r="D37" s="18">
        <f>ROUND(C37/'Table 3 Levels 1&amp;2'!C39,2)</f>
        <v>4007.66</v>
      </c>
      <c r="E37" s="433">
        <f t="shared" si="2"/>
        <v>25</v>
      </c>
      <c r="F37" s="18">
        <f>'[4]Table 3 Levels 1&amp;2'!AN40</f>
        <v>77720930</v>
      </c>
      <c r="G37" s="18">
        <f t="shared" si="0"/>
        <v>4095511</v>
      </c>
      <c r="H37" s="17">
        <f t="shared" si="3"/>
        <v>4095511</v>
      </c>
      <c r="I37" s="136">
        <f>ROUND(H37/+'Table 3 Levels 1&amp;2'!C39,0)</f>
        <v>201</v>
      </c>
      <c r="J37" s="136">
        <f t="shared" si="4"/>
        <v>0</v>
      </c>
      <c r="K37" s="586">
        <f t="shared" si="5"/>
        <v>0</v>
      </c>
      <c r="L37" s="136">
        <f>IF(J37&lt;0,0,(ROUND(D37*'Table 8 Membership'!Y39,0)*-1))</f>
        <v>-1999822</v>
      </c>
      <c r="M37" s="17">
        <f t="shared" si="6"/>
        <v>2095689</v>
      </c>
      <c r="N37" s="17">
        <f t="shared" si="10"/>
        <v>926476</v>
      </c>
      <c r="O37" s="498">
        <v>0</v>
      </c>
      <c r="P37" s="107">
        <v>19928</v>
      </c>
      <c r="Q37" s="17">
        <f t="shared" si="7"/>
        <v>0</v>
      </c>
      <c r="R37" s="658">
        <f>ROUND(Q37*'Table 3 Levels 1&amp;2'!C39,0)</f>
        <v>0</v>
      </c>
      <c r="S37" s="503">
        <v>6</v>
      </c>
      <c r="T37" s="548">
        <f>ROUND($T$4*S37,0)</f>
        <v>90306</v>
      </c>
      <c r="U37" s="217">
        <v>0</v>
      </c>
      <c r="V37" s="217">
        <f>ROUND(U37*'Table 3 Levels 1&amp;2'!C39,0)</f>
        <v>0</v>
      </c>
      <c r="W37" s="217">
        <v>0</v>
      </c>
      <c r="X37" s="548">
        <f t="shared" si="9"/>
        <v>0</v>
      </c>
      <c r="Y37" s="569">
        <f t="shared" si="1"/>
        <v>90306</v>
      </c>
    </row>
    <row r="38" spans="1:25" ht="12.75">
      <c r="A38" s="412">
        <v>33</v>
      </c>
      <c r="B38" s="599" t="s">
        <v>165</v>
      </c>
      <c r="C38" s="585">
        <f>'Table 3 Levels 1&amp;2'!AN40</f>
        <v>8950130</v>
      </c>
      <c r="D38" s="18">
        <f>ROUND(C38/'Table 3 Levels 1&amp;2'!C40,2)</f>
        <v>3887.98</v>
      </c>
      <c r="E38" s="433">
        <f t="shared" si="2"/>
        <v>32</v>
      </c>
      <c r="F38" s="18">
        <f>'[4]Table 3 Levels 1&amp;2'!AN41</f>
        <v>8948626</v>
      </c>
      <c r="G38" s="18">
        <f aca="true" t="shared" si="11" ref="G38:G69">C38-F38</f>
        <v>1504</v>
      </c>
      <c r="H38" s="17">
        <f t="shared" si="3"/>
        <v>1504</v>
      </c>
      <c r="I38" s="136">
        <f>ROUND(H38/+'Table 3 Levels 1&amp;2'!C40,0)</f>
        <v>1</v>
      </c>
      <c r="J38" s="136">
        <f t="shared" si="4"/>
        <v>0</v>
      </c>
      <c r="K38" s="586">
        <f t="shared" si="5"/>
        <v>0</v>
      </c>
      <c r="L38" s="136">
        <f>IF(J38&lt;0,0,(ROUND(D38*'Table 8 Membership'!Y40,0)*-1))</f>
        <v>0</v>
      </c>
      <c r="M38" s="17">
        <f t="shared" si="6"/>
        <v>1504</v>
      </c>
      <c r="N38" s="17">
        <f t="shared" si="10"/>
        <v>665</v>
      </c>
      <c r="O38" s="498">
        <v>395986</v>
      </c>
      <c r="P38" s="107">
        <v>2365</v>
      </c>
      <c r="Q38" s="17">
        <f t="shared" si="7"/>
        <v>167</v>
      </c>
      <c r="R38" s="658">
        <f>ROUND(Q38*'Table 3 Levels 1&amp;2'!C40,0)</f>
        <v>384434</v>
      </c>
      <c r="S38" s="503">
        <v>0</v>
      </c>
      <c r="T38" s="548">
        <f t="shared" si="8"/>
        <v>0</v>
      </c>
      <c r="U38" s="217">
        <v>0</v>
      </c>
      <c r="V38" s="217">
        <f>ROUND(U38*'Table 3 Levels 1&amp;2'!C40,0)</f>
        <v>0</v>
      </c>
      <c r="W38" s="217">
        <v>0</v>
      </c>
      <c r="X38" s="548">
        <f t="shared" si="9"/>
        <v>0</v>
      </c>
      <c r="Y38" s="569">
        <f aca="true" t="shared" si="12" ref="Y38:Y69">X38+T38+R38</f>
        <v>384434</v>
      </c>
    </row>
    <row r="39" spans="1:25" ht="12.75">
      <c r="A39" s="412">
        <v>34</v>
      </c>
      <c r="B39" s="599" t="s">
        <v>166</v>
      </c>
      <c r="C39" s="585">
        <f>'Table 3 Levels 1&amp;2'!AN41</f>
        <v>19262284</v>
      </c>
      <c r="D39" s="18">
        <f>ROUND(C39/'Table 3 Levels 1&amp;2'!C41,2)</f>
        <v>3761.43</v>
      </c>
      <c r="E39" s="433">
        <f t="shared" si="2"/>
        <v>35</v>
      </c>
      <c r="F39" s="18">
        <f>'[4]Table 3 Levels 1&amp;2'!AN42</f>
        <v>18881753</v>
      </c>
      <c r="G39" s="18">
        <f t="shared" si="11"/>
        <v>380531</v>
      </c>
      <c r="H39" s="17">
        <f t="shared" si="3"/>
        <v>380531</v>
      </c>
      <c r="I39" s="136">
        <f>ROUND(H39/+'Table 3 Levels 1&amp;2'!C41,0)</f>
        <v>74</v>
      </c>
      <c r="J39" s="136">
        <f t="shared" si="4"/>
        <v>0</v>
      </c>
      <c r="K39" s="586">
        <f t="shared" si="5"/>
        <v>0</v>
      </c>
      <c r="L39" s="136">
        <f>IF(J39&lt;0,0,(ROUND(D39*'Table 8 Membership'!Y41,0)*-1))</f>
        <v>0</v>
      </c>
      <c r="M39" s="17">
        <f t="shared" si="6"/>
        <v>380531</v>
      </c>
      <c r="N39" s="17">
        <f t="shared" si="10"/>
        <v>168228</v>
      </c>
      <c r="O39" s="498">
        <v>435077</v>
      </c>
      <c r="P39" s="107">
        <v>5171</v>
      </c>
      <c r="Q39" s="17">
        <f t="shared" si="7"/>
        <v>84</v>
      </c>
      <c r="R39" s="658">
        <f>ROUND(Q39*'Table 3 Levels 1&amp;2'!C41,0)</f>
        <v>430164</v>
      </c>
      <c r="S39" s="503">
        <v>0</v>
      </c>
      <c r="T39" s="548">
        <f t="shared" si="8"/>
        <v>0</v>
      </c>
      <c r="U39" s="217">
        <v>0</v>
      </c>
      <c r="V39" s="217">
        <f>ROUND(U39*'Table 3 Levels 1&amp;2'!C41,0)</f>
        <v>0</v>
      </c>
      <c r="W39" s="217">
        <v>0</v>
      </c>
      <c r="X39" s="548">
        <f t="shared" si="9"/>
        <v>0</v>
      </c>
      <c r="Y39" s="569">
        <f t="shared" si="12"/>
        <v>430164</v>
      </c>
    </row>
    <row r="40" spans="1:25" ht="12.75">
      <c r="A40" s="413">
        <v>35</v>
      </c>
      <c r="B40" s="600" t="s">
        <v>167</v>
      </c>
      <c r="C40" s="587">
        <f>'Table 3 Levels 1&amp;2'!AN42</f>
        <v>23974051</v>
      </c>
      <c r="D40" s="19">
        <f>ROUND(C40/'Table 3 Levels 1&amp;2'!C42,2)</f>
        <v>3623.65</v>
      </c>
      <c r="E40" s="434">
        <f t="shared" si="2"/>
        <v>41</v>
      </c>
      <c r="F40" s="19">
        <f>'[4]Table 3 Levels 1&amp;2'!AN43</f>
        <v>23716495</v>
      </c>
      <c r="G40" s="19">
        <f t="shared" si="11"/>
        <v>257556</v>
      </c>
      <c r="H40" s="246">
        <f t="shared" si="3"/>
        <v>257556</v>
      </c>
      <c r="I40" s="550">
        <f>ROUND(H40/+'Table 3 Levels 1&amp;2'!C42,0)</f>
        <v>39</v>
      </c>
      <c r="J40" s="550">
        <f t="shared" si="4"/>
        <v>0</v>
      </c>
      <c r="K40" s="588">
        <f t="shared" si="5"/>
        <v>0</v>
      </c>
      <c r="L40" s="550">
        <f>IF(J40&lt;0,0,(ROUND(D40*'Table 8 Membership'!Y42,0)*-1))</f>
        <v>0</v>
      </c>
      <c r="M40" s="246">
        <f t="shared" si="6"/>
        <v>257556</v>
      </c>
      <c r="N40" s="246">
        <f t="shared" si="10"/>
        <v>113862</v>
      </c>
      <c r="O40" s="499">
        <v>423381</v>
      </c>
      <c r="P40" s="547">
        <v>6671</v>
      </c>
      <c r="Q40" s="246">
        <f t="shared" si="7"/>
        <v>63</v>
      </c>
      <c r="R40" s="659">
        <f>ROUND(Q40*'Table 3 Levels 1&amp;2'!C42,0)</f>
        <v>416808</v>
      </c>
      <c r="S40" s="637">
        <v>0</v>
      </c>
      <c r="T40" s="549">
        <f t="shared" si="8"/>
        <v>0</v>
      </c>
      <c r="U40" s="435">
        <v>0</v>
      </c>
      <c r="V40" s="435">
        <f>ROUND(U40*'Table 3 Levels 1&amp;2'!C42,0)</f>
        <v>0</v>
      </c>
      <c r="W40" s="435">
        <v>0</v>
      </c>
      <c r="X40" s="549">
        <f t="shared" si="9"/>
        <v>0</v>
      </c>
      <c r="Y40" s="570">
        <f t="shared" si="12"/>
        <v>416808</v>
      </c>
    </row>
    <row r="41" spans="1:25" ht="12.75">
      <c r="A41" s="412">
        <v>36</v>
      </c>
      <c r="B41" s="599" t="s">
        <v>168</v>
      </c>
      <c r="C41" s="585">
        <f>'Table 3 Levels 1&amp;2'!AN43</f>
        <v>213404123</v>
      </c>
      <c r="D41" s="18">
        <f>ROUND(C41/'Table 3 Levels 1&amp;2'!C43,2)</f>
        <v>3134.24</v>
      </c>
      <c r="E41" s="433">
        <f t="shared" si="2"/>
        <v>53</v>
      </c>
      <c r="F41" s="18">
        <f>'[4]Table 3 Levels 1&amp;2'!AN44</f>
        <v>211195928</v>
      </c>
      <c r="G41" s="18">
        <f t="shared" si="11"/>
        <v>2208195</v>
      </c>
      <c r="H41" s="17">
        <f t="shared" si="3"/>
        <v>2208195</v>
      </c>
      <c r="I41" s="136">
        <f>ROUND(H41/+'Table 3 Levels 1&amp;2'!C43,0)</f>
        <v>32</v>
      </c>
      <c r="J41" s="136">
        <f t="shared" si="4"/>
        <v>0</v>
      </c>
      <c r="K41" s="586">
        <f t="shared" si="5"/>
        <v>0</v>
      </c>
      <c r="L41" s="136">
        <f>IF(J41&lt;0,0,(ROUND(D41*'Table 8 Membership'!Y43,0)*-1))</f>
        <v>0</v>
      </c>
      <c r="M41" s="17">
        <f t="shared" si="6"/>
        <v>2208195</v>
      </c>
      <c r="N41" s="17">
        <f t="shared" si="10"/>
        <v>976214</v>
      </c>
      <c r="O41" s="498">
        <v>10473242</v>
      </c>
      <c r="P41" s="107">
        <v>71262</v>
      </c>
      <c r="Q41" s="17">
        <f t="shared" si="7"/>
        <v>147</v>
      </c>
      <c r="R41" s="658">
        <f>ROUND(Q41*'Table 3 Levels 1&amp;2'!C43,0)</f>
        <v>10008936</v>
      </c>
      <c r="S41" s="503">
        <v>39</v>
      </c>
      <c r="T41" s="548">
        <f>ROUND($T$4*S41,0)</f>
        <v>586991</v>
      </c>
      <c r="U41" s="217">
        <v>0</v>
      </c>
      <c r="V41" s="217">
        <f>ROUND(U41*'Table 3 Levels 1&amp;2'!C43,0)</f>
        <v>0</v>
      </c>
      <c r="W41" s="217">
        <v>0</v>
      </c>
      <c r="X41" s="548">
        <f t="shared" si="9"/>
        <v>0</v>
      </c>
      <c r="Y41" s="569">
        <f t="shared" si="12"/>
        <v>10595927</v>
      </c>
    </row>
    <row r="42" spans="1:25" ht="12.75">
      <c r="A42" s="412">
        <v>37</v>
      </c>
      <c r="B42" s="599" t="s">
        <v>169</v>
      </c>
      <c r="C42" s="585">
        <f>'Table 3 Levels 1&amp;2'!AN44</f>
        <v>70831095</v>
      </c>
      <c r="D42" s="18">
        <f>ROUND(C42/'Table 3 Levels 1&amp;2'!C44,2)</f>
        <v>4024.04</v>
      </c>
      <c r="E42" s="433">
        <f t="shared" si="2"/>
        <v>23</v>
      </c>
      <c r="F42" s="18">
        <f>'[4]Table 3 Levels 1&amp;2'!AN45</f>
        <v>68933264</v>
      </c>
      <c r="G42" s="18">
        <f t="shared" si="11"/>
        <v>1897831</v>
      </c>
      <c r="H42" s="17">
        <f t="shared" si="3"/>
        <v>1897831</v>
      </c>
      <c r="I42" s="136">
        <f>ROUND(H42/+'Table 3 Levels 1&amp;2'!C44,0)</f>
        <v>108</v>
      </c>
      <c r="J42" s="136">
        <f t="shared" si="4"/>
        <v>0</v>
      </c>
      <c r="K42" s="586">
        <f t="shared" si="5"/>
        <v>0</v>
      </c>
      <c r="L42" s="136">
        <f>IF(J42&lt;0,0,(ROUND(D42*'Table 8 Membership'!Y44,0)*-1))</f>
        <v>0</v>
      </c>
      <c r="M42" s="17">
        <f t="shared" si="6"/>
        <v>1897831</v>
      </c>
      <c r="N42" s="17">
        <f t="shared" si="10"/>
        <v>839006</v>
      </c>
      <c r="O42" s="498">
        <v>0</v>
      </c>
      <c r="P42" s="107">
        <v>17645</v>
      </c>
      <c r="Q42" s="17">
        <f t="shared" si="7"/>
        <v>0</v>
      </c>
      <c r="R42" s="658">
        <f>ROUND(Q42*'Table 3 Levels 1&amp;2'!C44,0)</f>
        <v>0</v>
      </c>
      <c r="S42" s="503">
        <v>7</v>
      </c>
      <c r="T42" s="548">
        <f>ROUND($T$4*S42,0)</f>
        <v>105357</v>
      </c>
      <c r="U42" s="217">
        <v>0</v>
      </c>
      <c r="V42" s="217">
        <f>ROUND(U42*'Table 3 Levels 1&amp;2'!C44,0)</f>
        <v>0</v>
      </c>
      <c r="W42" s="217">
        <v>0</v>
      </c>
      <c r="X42" s="548">
        <f t="shared" si="9"/>
        <v>0</v>
      </c>
      <c r="Y42" s="569">
        <f t="shared" si="12"/>
        <v>105357</v>
      </c>
    </row>
    <row r="43" spans="1:25" ht="12.75">
      <c r="A43" s="412">
        <v>38</v>
      </c>
      <c r="B43" s="599" t="s">
        <v>170</v>
      </c>
      <c r="C43" s="585">
        <f>'Table 3 Levels 1&amp;2'!AN45</f>
        <v>3790285</v>
      </c>
      <c r="D43" s="18">
        <f>ROUND(C43/'Table 3 Levels 1&amp;2'!C45,2)</f>
        <v>822.19</v>
      </c>
      <c r="E43" s="433">
        <f t="shared" si="2"/>
        <v>66</v>
      </c>
      <c r="F43" s="18">
        <f>'[4]Table 3 Levels 1&amp;2'!AN46</f>
        <v>3262308</v>
      </c>
      <c r="G43" s="18">
        <f t="shared" si="11"/>
        <v>527977</v>
      </c>
      <c r="H43" s="17">
        <f t="shared" si="3"/>
        <v>527977</v>
      </c>
      <c r="I43" s="136">
        <f>ROUND(H43/+'Table 3 Levels 1&amp;2'!C45,0)</f>
        <v>115</v>
      </c>
      <c r="J43" s="136">
        <f t="shared" si="4"/>
        <v>0</v>
      </c>
      <c r="K43" s="586">
        <f t="shared" si="5"/>
        <v>0</v>
      </c>
      <c r="L43" s="136">
        <f>IF(J43&lt;0,0,(ROUND(D43*'Table 8 Membership'!Y45,0)*-1))</f>
        <v>0</v>
      </c>
      <c r="M43" s="17">
        <f t="shared" si="6"/>
        <v>527977</v>
      </c>
      <c r="N43" s="17">
        <f t="shared" si="10"/>
        <v>233412</v>
      </c>
      <c r="O43" s="498">
        <v>364358</v>
      </c>
      <c r="P43" s="107">
        <v>4720</v>
      </c>
      <c r="Q43" s="17">
        <f t="shared" si="7"/>
        <v>77</v>
      </c>
      <c r="R43" s="658">
        <f>ROUND(Q43*'Table 3 Levels 1&amp;2'!C45,0)</f>
        <v>354970</v>
      </c>
      <c r="S43" s="503">
        <v>3</v>
      </c>
      <c r="T43" s="548">
        <f>ROUND($T$4*S43,0)</f>
        <v>45153</v>
      </c>
      <c r="U43" s="217">
        <v>1497</v>
      </c>
      <c r="V43" s="217">
        <f>ROUND(U43*'Table 3 Levels 1&amp;2'!C45,0)</f>
        <v>6901170</v>
      </c>
      <c r="W43" s="217">
        <v>7145206</v>
      </c>
      <c r="X43" s="548">
        <f t="shared" si="9"/>
        <v>6901170</v>
      </c>
      <c r="Y43" s="569">
        <f t="shared" si="12"/>
        <v>7301293</v>
      </c>
    </row>
    <row r="44" spans="1:25" ht="12.75">
      <c r="A44" s="412">
        <v>39</v>
      </c>
      <c r="B44" s="599" t="s">
        <v>171</v>
      </c>
      <c r="C44" s="585">
        <f>'Table 3 Levels 1&amp;2'!AN46</f>
        <v>6696865</v>
      </c>
      <c r="D44" s="18">
        <f>ROUND(C44/'Table 3 Levels 1&amp;2'!C46,2)</f>
        <v>2113.91</v>
      </c>
      <c r="E44" s="433">
        <f t="shared" si="2"/>
        <v>59</v>
      </c>
      <c r="F44" s="18">
        <f>'[4]Table 3 Levels 1&amp;2'!AN47</f>
        <v>8264527</v>
      </c>
      <c r="G44" s="18">
        <f t="shared" si="11"/>
        <v>-1567662</v>
      </c>
      <c r="H44" s="17">
        <f t="shared" si="3"/>
        <v>0</v>
      </c>
      <c r="I44" s="136">
        <f>ROUND(H44/+'Table 3 Levels 1&amp;2'!C46,0)</f>
        <v>0</v>
      </c>
      <c r="J44" s="136">
        <f t="shared" si="4"/>
        <v>-1567662</v>
      </c>
      <c r="K44" s="586">
        <f t="shared" si="5"/>
        <v>1</v>
      </c>
      <c r="L44" s="136">
        <f>IF(J44&lt;0,0,(ROUND(D44*'Table 8 Membership'!Y46,0)*-1))</f>
        <v>0</v>
      </c>
      <c r="M44" s="17">
        <f t="shared" si="6"/>
        <v>0</v>
      </c>
      <c r="N44" s="17">
        <f t="shared" si="10"/>
        <v>0</v>
      </c>
      <c r="O44" s="498">
        <v>400158</v>
      </c>
      <c r="P44" s="107">
        <v>3173</v>
      </c>
      <c r="Q44" s="17">
        <f t="shared" si="7"/>
        <v>126</v>
      </c>
      <c r="R44" s="658">
        <f>ROUND(Q44*'Table 3 Levels 1&amp;2'!C46,0)</f>
        <v>399168</v>
      </c>
      <c r="S44" s="503">
        <v>4</v>
      </c>
      <c r="T44" s="548">
        <f>ROUND($T$4*S44,0)</f>
        <v>60204</v>
      </c>
      <c r="U44" s="217">
        <v>112</v>
      </c>
      <c r="V44" s="217">
        <f>ROUND(U44*'Table 3 Levels 1&amp;2'!C46,0)</f>
        <v>354816</v>
      </c>
      <c r="W44" s="217">
        <v>372315</v>
      </c>
      <c r="X44" s="548">
        <f t="shared" si="9"/>
        <v>354816</v>
      </c>
      <c r="Y44" s="569">
        <f t="shared" si="12"/>
        <v>814188</v>
      </c>
    </row>
    <row r="45" spans="1:25" ht="12.75">
      <c r="A45" s="413">
        <v>40</v>
      </c>
      <c r="B45" s="600" t="s">
        <v>172</v>
      </c>
      <c r="C45" s="587">
        <f>'Table 3 Levels 1&amp;2'!AN47</f>
        <v>79643259</v>
      </c>
      <c r="D45" s="19">
        <f>ROUND(C45/'Table 3 Levels 1&amp;2'!C47,2)</f>
        <v>3555.19</v>
      </c>
      <c r="E45" s="434">
        <f t="shared" si="2"/>
        <v>43</v>
      </c>
      <c r="F45" s="19">
        <f>'[4]Table 3 Levels 1&amp;2'!AN48</f>
        <v>75823585</v>
      </c>
      <c r="G45" s="19">
        <f t="shared" si="11"/>
        <v>3819674</v>
      </c>
      <c r="H45" s="246">
        <f t="shared" si="3"/>
        <v>3819674</v>
      </c>
      <c r="I45" s="550">
        <f>ROUND(H45/+'Table 3 Levels 1&amp;2'!C47,0)</f>
        <v>171</v>
      </c>
      <c r="J45" s="550">
        <f t="shared" si="4"/>
        <v>0</v>
      </c>
      <c r="K45" s="588">
        <f t="shared" si="5"/>
        <v>0</v>
      </c>
      <c r="L45" s="550">
        <f>IF(J45&lt;0,0,(ROUND(D45*'Table 8 Membership'!Y47,0)*-1))</f>
        <v>0</v>
      </c>
      <c r="M45" s="246">
        <f t="shared" si="6"/>
        <v>3819674</v>
      </c>
      <c r="N45" s="246">
        <f t="shared" si="10"/>
        <v>1688627</v>
      </c>
      <c r="O45" s="499">
        <v>3710521</v>
      </c>
      <c r="P45" s="547">
        <v>22592</v>
      </c>
      <c r="Q45" s="246">
        <f t="shared" si="7"/>
        <v>164</v>
      </c>
      <c r="R45" s="659">
        <f>ROUND(Q45*'Table 3 Levels 1&amp;2'!C47,0)</f>
        <v>3673928</v>
      </c>
      <c r="S45" s="637">
        <v>3</v>
      </c>
      <c r="T45" s="549">
        <f>ROUND($T$4*S45,0)</f>
        <v>45153</v>
      </c>
      <c r="U45" s="435">
        <v>0</v>
      </c>
      <c r="V45" s="435">
        <f>ROUND(U45*'Table 3 Levels 1&amp;2'!C47,0)</f>
        <v>0</v>
      </c>
      <c r="W45" s="435">
        <v>0</v>
      </c>
      <c r="X45" s="549">
        <f t="shared" si="9"/>
        <v>0</v>
      </c>
      <c r="Y45" s="570">
        <f t="shared" si="12"/>
        <v>3719081</v>
      </c>
    </row>
    <row r="46" spans="1:25" ht="12.75">
      <c r="A46" s="412">
        <v>41</v>
      </c>
      <c r="B46" s="599" t="s">
        <v>173</v>
      </c>
      <c r="C46" s="585">
        <f>'Table 3 Levels 1&amp;2'!AN48</f>
        <v>7783487</v>
      </c>
      <c r="D46" s="18">
        <f>ROUND(C46/'Table 3 Levels 1&amp;2'!C48,2)</f>
        <v>5080.61</v>
      </c>
      <c r="E46" s="433">
        <f t="shared" si="2"/>
        <v>1</v>
      </c>
      <c r="F46" s="18">
        <f>'[4]Table 3 Levels 1&amp;2'!AN49</f>
        <v>8241922</v>
      </c>
      <c r="G46" s="18">
        <f t="shared" si="11"/>
        <v>-458435</v>
      </c>
      <c r="H46" s="17">
        <f t="shared" si="3"/>
        <v>0</v>
      </c>
      <c r="I46" s="136">
        <f>ROUND(H46/+'Table 3 Levels 1&amp;2'!C48,0)</f>
        <v>0</v>
      </c>
      <c r="J46" s="136">
        <f t="shared" si="4"/>
        <v>-458435</v>
      </c>
      <c r="K46" s="586">
        <f t="shared" si="5"/>
        <v>1</v>
      </c>
      <c r="L46" s="136">
        <f>IF(J46&lt;0,0,(ROUND(D46*'Table 8 Membership'!Y48,0)*-1))</f>
        <v>0</v>
      </c>
      <c r="M46" s="17">
        <f t="shared" si="6"/>
        <v>0</v>
      </c>
      <c r="N46" s="17">
        <f t="shared" si="10"/>
        <v>0</v>
      </c>
      <c r="O46" s="498">
        <v>336688</v>
      </c>
      <c r="P46" s="107">
        <v>1649</v>
      </c>
      <c r="Q46" s="17">
        <f t="shared" si="7"/>
        <v>204</v>
      </c>
      <c r="R46" s="658">
        <f>ROUND(Q46*'Table 3 Levels 1&amp;2'!C48,0)</f>
        <v>312528</v>
      </c>
      <c r="S46" s="503">
        <v>0</v>
      </c>
      <c r="T46" s="548">
        <f t="shared" si="8"/>
        <v>0</v>
      </c>
      <c r="U46" s="217">
        <v>0</v>
      </c>
      <c r="V46" s="217">
        <f>ROUND(U46*'Table 3 Levels 1&amp;2'!C48,0)</f>
        <v>0</v>
      </c>
      <c r="W46" s="217">
        <v>0</v>
      </c>
      <c r="X46" s="548">
        <f t="shared" si="9"/>
        <v>0</v>
      </c>
      <c r="Y46" s="569">
        <f t="shared" si="12"/>
        <v>312528</v>
      </c>
    </row>
    <row r="47" spans="1:25" ht="12.75">
      <c r="A47" s="412">
        <v>42</v>
      </c>
      <c r="B47" s="599" t="s">
        <v>174</v>
      </c>
      <c r="C47" s="585">
        <f>'Table 3 Levels 1&amp;2'!AN49</f>
        <v>15147619</v>
      </c>
      <c r="D47" s="18">
        <f>ROUND(C47/'Table 3 Levels 1&amp;2'!C49,2)</f>
        <v>4304.52</v>
      </c>
      <c r="E47" s="433">
        <f t="shared" si="2"/>
        <v>11</v>
      </c>
      <c r="F47" s="18">
        <f>'[4]Table 3 Levels 1&amp;2'!AN50</f>
        <v>14962907</v>
      </c>
      <c r="G47" s="18">
        <f t="shared" si="11"/>
        <v>184712</v>
      </c>
      <c r="H47" s="17">
        <f t="shared" si="3"/>
        <v>184712</v>
      </c>
      <c r="I47" s="136">
        <f>ROUND(H47/+'Table 3 Levels 1&amp;2'!C49,0)</f>
        <v>52</v>
      </c>
      <c r="J47" s="136">
        <f t="shared" si="4"/>
        <v>0</v>
      </c>
      <c r="K47" s="586">
        <f t="shared" si="5"/>
        <v>0</v>
      </c>
      <c r="L47" s="136">
        <f>IF(J47&lt;0,0,(ROUND(D47*'Table 8 Membership'!Y49,0)*-1))</f>
        <v>0</v>
      </c>
      <c r="M47" s="17">
        <f t="shared" si="6"/>
        <v>184712</v>
      </c>
      <c r="N47" s="17">
        <f t="shared" si="10"/>
        <v>81659</v>
      </c>
      <c r="O47" s="498">
        <v>24605</v>
      </c>
      <c r="P47" s="107">
        <v>3570</v>
      </c>
      <c r="Q47" s="17">
        <f t="shared" si="7"/>
        <v>7</v>
      </c>
      <c r="R47" s="658">
        <f>ROUND(Q47*'Table 3 Levels 1&amp;2'!C49,0)</f>
        <v>24633</v>
      </c>
      <c r="S47" s="503">
        <v>2</v>
      </c>
      <c r="T47" s="548">
        <f t="shared" si="8"/>
        <v>30102</v>
      </c>
      <c r="U47" s="217">
        <v>0</v>
      </c>
      <c r="V47" s="217">
        <f>ROUND(U47*'Table 3 Levels 1&amp;2'!C49,0)</f>
        <v>0</v>
      </c>
      <c r="W47" s="217">
        <v>0</v>
      </c>
      <c r="X47" s="548">
        <f t="shared" si="9"/>
        <v>0</v>
      </c>
      <c r="Y47" s="569">
        <f t="shared" si="12"/>
        <v>54735</v>
      </c>
    </row>
    <row r="48" spans="1:25" ht="12.75">
      <c r="A48" s="412">
        <v>43</v>
      </c>
      <c r="B48" s="599" t="s">
        <v>175</v>
      </c>
      <c r="C48" s="585">
        <f>'Table 3 Levels 1&amp;2'!AN50</f>
        <v>17365474</v>
      </c>
      <c r="D48" s="18">
        <f>ROUND(C48/'Table 3 Levels 1&amp;2'!C50,2)</f>
        <v>4205.73</v>
      </c>
      <c r="E48" s="433">
        <f t="shared" si="2"/>
        <v>18</v>
      </c>
      <c r="F48" s="18">
        <f>'[4]Table 3 Levels 1&amp;2'!AN51</f>
        <v>17012395</v>
      </c>
      <c r="G48" s="18">
        <f t="shared" si="11"/>
        <v>353079</v>
      </c>
      <c r="H48" s="17">
        <f t="shared" si="3"/>
        <v>353079</v>
      </c>
      <c r="I48" s="136">
        <f>ROUND(H48/+'Table 3 Levels 1&amp;2'!C50,0)</f>
        <v>86</v>
      </c>
      <c r="J48" s="136">
        <f t="shared" si="4"/>
        <v>0</v>
      </c>
      <c r="K48" s="586">
        <f t="shared" si="5"/>
        <v>0</v>
      </c>
      <c r="L48" s="136">
        <f>IF(J48&lt;0,0,(ROUND(D48*'Table 8 Membership'!Y50,0)*-1))</f>
        <v>0</v>
      </c>
      <c r="M48" s="17">
        <f t="shared" si="6"/>
        <v>353079</v>
      </c>
      <c r="N48" s="17">
        <f t="shared" si="10"/>
        <v>156092</v>
      </c>
      <c r="O48" s="498">
        <v>0</v>
      </c>
      <c r="P48" s="107">
        <v>4162</v>
      </c>
      <c r="Q48" s="17">
        <f t="shared" si="7"/>
        <v>0</v>
      </c>
      <c r="R48" s="658">
        <f>ROUND(Q48*'Table 3 Levels 1&amp;2'!C50,0)</f>
        <v>0</v>
      </c>
      <c r="S48" s="503">
        <v>0</v>
      </c>
      <c r="T48" s="548">
        <f t="shared" si="8"/>
        <v>0</v>
      </c>
      <c r="U48" s="217">
        <v>0</v>
      </c>
      <c r="V48" s="217">
        <f>ROUND(U48*'Table 3 Levels 1&amp;2'!C50,0)</f>
        <v>0</v>
      </c>
      <c r="W48" s="217">
        <v>0</v>
      </c>
      <c r="X48" s="548">
        <f t="shared" si="9"/>
        <v>0</v>
      </c>
      <c r="Y48" s="569">
        <f t="shared" si="12"/>
        <v>0</v>
      </c>
    </row>
    <row r="49" spans="1:25" ht="12.75">
      <c r="A49" s="412">
        <v>44</v>
      </c>
      <c r="B49" s="599" t="s">
        <v>176</v>
      </c>
      <c r="C49" s="585">
        <f>'Table 3 Levels 1&amp;2'!AN51</f>
        <v>28279925</v>
      </c>
      <c r="D49" s="18">
        <f>ROUND(C49/'Table 3 Levels 1&amp;2'!C51,2)</f>
        <v>3373.49</v>
      </c>
      <c r="E49" s="433">
        <f t="shared" si="2"/>
        <v>48</v>
      </c>
      <c r="F49" s="18">
        <f>'[4]Table 3 Levels 1&amp;2'!AN52</f>
        <v>28376985</v>
      </c>
      <c r="G49" s="18">
        <f t="shared" si="11"/>
        <v>-97060</v>
      </c>
      <c r="H49" s="17">
        <f t="shared" si="3"/>
        <v>0</v>
      </c>
      <c r="I49" s="136">
        <f>ROUND(H49/+'Table 3 Levels 1&amp;2'!C51,0)</f>
        <v>0</v>
      </c>
      <c r="J49" s="136">
        <f t="shared" si="4"/>
        <v>-97060</v>
      </c>
      <c r="K49" s="586">
        <f t="shared" si="5"/>
        <v>1</v>
      </c>
      <c r="L49" s="136">
        <f>IF(J49&lt;0,0,(ROUND(D49*'Table 8 Membership'!Y51,0)*-1))</f>
        <v>0</v>
      </c>
      <c r="M49" s="17">
        <f t="shared" si="6"/>
        <v>0</v>
      </c>
      <c r="N49" s="17">
        <f t="shared" si="10"/>
        <v>0</v>
      </c>
      <c r="O49" s="498">
        <v>0</v>
      </c>
      <c r="P49" s="107">
        <v>8412</v>
      </c>
      <c r="Q49" s="17">
        <f t="shared" si="7"/>
        <v>0</v>
      </c>
      <c r="R49" s="658">
        <f>ROUND(Q49*'Table 3 Levels 1&amp;2'!C51,0)</f>
        <v>0</v>
      </c>
      <c r="S49" s="503">
        <v>0</v>
      </c>
      <c r="T49" s="548">
        <f t="shared" si="8"/>
        <v>0</v>
      </c>
      <c r="U49" s="217">
        <v>0</v>
      </c>
      <c r="V49" s="217">
        <f>ROUND(U49*'Table 3 Levels 1&amp;2'!C51,0)</f>
        <v>0</v>
      </c>
      <c r="W49" s="217">
        <v>0</v>
      </c>
      <c r="X49" s="548">
        <f t="shared" si="9"/>
        <v>0</v>
      </c>
      <c r="Y49" s="569">
        <f t="shared" si="12"/>
        <v>0</v>
      </c>
    </row>
    <row r="50" spans="1:25" ht="12.75">
      <c r="A50" s="413">
        <v>45</v>
      </c>
      <c r="B50" s="600" t="s">
        <v>177</v>
      </c>
      <c r="C50" s="587">
        <f>'Table 3 Levels 1&amp;2'!AN52</f>
        <v>14870769</v>
      </c>
      <c r="D50" s="19">
        <f>ROUND(C50/'Table 3 Levels 1&amp;2'!C52,2)</f>
        <v>1571.46</v>
      </c>
      <c r="E50" s="434">
        <f t="shared" si="2"/>
        <v>64</v>
      </c>
      <c r="F50" s="19">
        <f>'[4]Table 3 Levels 1&amp;2'!AN53</f>
        <v>14088540</v>
      </c>
      <c r="G50" s="19">
        <f t="shared" si="11"/>
        <v>782229</v>
      </c>
      <c r="H50" s="246">
        <f t="shared" si="3"/>
        <v>782229</v>
      </c>
      <c r="I50" s="550">
        <f>ROUND(H50/+'Table 3 Levels 1&amp;2'!C52,0)</f>
        <v>83</v>
      </c>
      <c r="J50" s="550">
        <f t="shared" si="4"/>
        <v>0</v>
      </c>
      <c r="K50" s="588">
        <f t="shared" si="5"/>
        <v>0</v>
      </c>
      <c r="L50" s="550">
        <f>IF(J50&lt;0,0,(ROUND(D50*'Table 8 Membership'!Y52,0)*-1))</f>
        <v>0</v>
      </c>
      <c r="M50" s="246">
        <f t="shared" si="6"/>
        <v>782229</v>
      </c>
      <c r="N50" s="246">
        <f t="shared" si="10"/>
        <v>345813</v>
      </c>
      <c r="O50" s="499">
        <v>0</v>
      </c>
      <c r="P50" s="547">
        <v>9646</v>
      </c>
      <c r="Q50" s="246">
        <f t="shared" si="7"/>
        <v>0</v>
      </c>
      <c r="R50" s="659">
        <f>ROUND(Q50*'Table 3 Levels 1&amp;2'!C52,0)</f>
        <v>0</v>
      </c>
      <c r="S50" s="637">
        <v>0</v>
      </c>
      <c r="T50" s="549">
        <f t="shared" si="8"/>
        <v>0</v>
      </c>
      <c r="U50" s="435">
        <v>1010</v>
      </c>
      <c r="V50" s="435">
        <f>ROUND(U50*'Table 3 Levels 1&amp;2'!C52,0)</f>
        <v>9557630</v>
      </c>
      <c r="W50" s="435">
        <v>9774832</v>
      </c>
      <c r="X50" s="549">
        <f t="shared" si="9"/>
        <v>9557630</v>
      </c>
      <c r="Y50" s="570">
        <f t="shared" si="12"/>
        <v>9557630</v>
      </c>
    </row>
    <row r="51" spans="1:25" ht="12.75">
      <c r="A51" s="412">
        <v>46</v>
      </c>
      <c r="B51" s="599" t="s">
        <v>178</v>
      </c>
      <c r="C51" s="585">
        <f>'Table 3 Levels 1&amp;2'!AN53</f>
        <v>5892856</v>
      </c>
      <c r="D51" s="18">
        <f>ROUND(C51/'Table 3 Levels 1&amp;2'!C53,2)</f>
        <v>4477.85</v>
      </c>
      <c r="E51" s="433">
        <f t="shared" si="2"/>
        <v>4</v>
      </c>
      <c r="F51" s="18">
        <f>'[4]Table 3 Levels 1&amp;2'!AN54</f>
        <v>5717975</v>
      </c>
      <c r="G51" s="18">
        <f t="shared" si="11"/>
        <v>174881</v>
      </c>
      <c r="H51" s="17">
        <f t="shared" si="3"/>
        <v>174881</v>
      </c>
      <c r="I51" s="136">
        <f>ROUND(H51/+'Table 3 Levels 1&amp;2'!C53,0)</f>
        <v>133</v>
      </c>
      <c r="J51" s="136">
        <f t="shared" si="4"/>
        <v>0</v>
      </c>
      <c r="K51" s="586">
        <f t="shared" si="5"/>
        <v>0</v>
      </c>
      <c r="L51" s="136">
        <f>IF(J51&lt;0,0,(ROUND(D51*'Table 8 Membership'!Y53,0)*-1))</f>
        <v>0</v>
      </c>
      <c r="M51" s="17">
        <f t="shared" si="6"/>
        <v>174881</v>
      </c>
      <c r="N51" s="17">
        <f t="shared" si="10"/>
        <v>77313</v>
      </c>
      <c r="O51" s="498">
        <v>228130</v>
      </c>
      <c r="P51" s="107">
        <v>1347</v>
      </c>
      <c r="Q51" s="17">
        <f t="shared" si="7"/>
        <v>169</v>
      </c>
      <c r="R51" s="658">
        <f>ROUND(Q51*'Table 3 Levels 1&amp;2'!C53,0)</f>
        <v>222404</v>
      </c>
      <c r="S51" s="503">
        <v>0</v>
      </c>
      <c r="T51" s="548">
        <f t="shared" si="8"/>
        <v>0</v>
      </c>
      <c r="U51" s="217">
        <v>0</v>
      </c>
      <c r="V51" s="217">
        <f>ROUND(U51*'Table 3 Levels 1&amp;2'!C53,0)</f>
        <v>0</v>
      </c>
      <c r="W51" s="217">
        <v>0</v>
      </c>
      <c r="X51" s="548">
        <f t="shared" si="9"/>
        <v>0</v>
      </c>
      <c r="Y51" s="569">
        <f t="shared" si="12"/>
        <v>222404</v>
      </c>
    </row>
    <row r="52" spans="1:25" ht="12.75">
      <c r="A52" s="412">
        <v>47</v>
      </c>
      <c r="B52" s="599" t="s">
        <v>179</v>
      </c>
      <c r="C52" s="585">
        <f>'Table 3 Levels 1&amp;2'!AN54</f>
        <v>6922511</v>
      </c>
      <c r="D52" s="18">
        <f>ROUND(C52/'Table 3 Levels 1&amp;2'!C54,2)</f>
        <v>1820.28</v>
      </c>
      <c r="E52" s="433">
        <f t="shared" si="2"/>
        <v>62</v>
      </c>
      <c r="F52" s="18">
        <f>'[4]Table 3 Levels 1&amp;2'!AN55</f>
        <v>7254084</v>
      </c>
      <c r="G52" s="18">
        <f t="shared" si="11"/>
        <v>-331573</v>
      </c>
      <c r="H52" s="17">
        <f t="shared" si="3"/>
        <v>0</v>
      </c>
      <c r="I52" s="136">
        <f>ROUND(H52/+'Table 3 Levels 1&amp;2'!C54,0)</f>
        <v>0</v>
      </c>
      <c r="J52" s="136">
        <f t="shared" si="4"/>
        <v>-331573</v>
      </c>
      <c r="K52" s="586">
        <f t="shared" si="5"/>
        <v>1</v>
      </c>
      <c r="L52" s="136">
        <f>IF(J52&lt;0,0,(ROUND(D52*'Table 8 Membership'!Y54,0)*-1))</f>
        <v>0</v>
      </c>
      <c r="M52" s="17">
        <f t="shared" si="6"/>
        <v>0</v>
      </c>
      <c r="N52" s="17">
        <f t="shared" si="10"/>
        <v>0</v>
      </c>
      <c r="O52" s="498">
        <v>701074</v>
      </c>
      <c r="P52" s="107">
        <v>3782</v>
      </c>
      <c r="Q52" s="17">
        <f t="shared" si="7"/>
        <v>185</v>
      </c>
      <c r="R52" s="658">
        <f>ROUND(Q52*'Table 3 Levels 1&amp;2'!C54,0)</f>
        <v>703555</v>
      </c>
      <c r="S52" s="503">
        <v>1</v>
      </c>
      <c r="T52" s="548">
        <f t="shared" si="8"/>
        <v>15051</v>
      </c>
      <c r="U52" s="217">
        <v>498</v>
      </c>
      <c r="V52" s="217">
        <f>ROUND(U52*'Table 3 Levels 1&amp;2'!C54,0)</f>
        <v>1893894</v>
      </c>
      <c r="W52" s="217">
        <v>1925765</v>
      </c>
      <c r="X52" s="548">
        <f t="shared" si="9"/>
        <v>1893894</v>
      </c>
      <c r="Y52" s="569">
        <f t="shared" si="12"/>
        <v>2612500</v>
      </c>
    </row>
    <row r="53" spans="1:25" ht="12.75">
      <c r="A53" s="412">
        <v>48</v>
      </c>
      <c r="B53" s="599" t="s">
        <v>451</v>
      </c>
      <c r="C53" s="585">
        <f>'Table 3 Levels 1&amp;2'!AN55</f>
        <v>24332953</v>
      </c>
      <c r="D53" s="18">
        <f>ROUND(C53/'Table 3 Levels 1&amp;2'!C55,2)</f>
        <v>3941.84</v>
      </c>
      <c r="E53" s="433">
        <f t="shared" si="2"/>
        <v>29</v>
      </c>
      <c r="F53" s="18">
        <f>'[4]Table 3 Levels 1&amp;2'!AN56</f>
        <v>22515238</v>
      </c>
      <c r="G53" s="18">
        <f t="shared" si="11"/>
        <v>1817715</v>
      </c>
      <c r="H53" s="17">
        <f t="shared" si="3"/>
        <v>1817715</v>
      </c>
      <c r="I53" s="136">
        <f>ROUND(H53/+'Table 3 Levels 1&amp;2'!C55,0)</f>
        <v>294</v>
      </c>
      <c r="J53" s="136">
        <f t="shared" si="4"/>
        <v>0</v>
      </c>
      <c r="K53" s="586">
        <f t="shared" si="5"/>
        <v>0</v>
      </c>
      <c r="L53" s="136">
        <f>IF(J53&lt;0,0,(ROUND(D53*'Table 8 Membership'!Y55,0)*-1))</f>
        <v>-271987</v>
      </c>
      <c r="M53" s="17">
        <f t="shared" si="6"/>
        <v>1545728</v>
      </c>
      <c r="N53" s="17">
        <f t="shared" si="10"/>
        <v>683346</v>
      </c>
      <c r="O53" s="498">
        <v>1119258</v>
      </c>
      <c r="P53" s="107">
        <v>6110</v>
      </c>
      <c r="Q53" s="17">
        <f t="shared" si="7"/>
        <v>183</v>
      </c>
      <c r="R53" s="658">
        <f>ROUND(Q53*'Table 3 Levels 1&amp;2'!C55,0)</f>
        <v>1129659</v>
      </c>
      <c r="S53" s="503">
        <v>7</v>
      </c>
      <c r="T53" s="548">
        <f>ROUND($T$4*S53,0)</f>
        <v>105357</v>
      </c>
      <c r="U53" s="217">
        <v>0</v>
      </c>
      <c r="V53" s="217">
        <f>ROUND(U53*'Table 3 Levels 1&amp;2'!C55,0)</f>
        <v>0</v>
      </c>
      <c r="W53" s="217">
        <v>0</v>
      </c>
      <c r="X53" s="548">
        <f t="shared" si="9"/>
        <v>0</v>
      </c>
      <c r="Y53" s="569">
        <f t="shared" si="12"/>
        <v>1235016</v>
      </c>
    </row>
    <row r="54" spans="1:25" ht="12.75">
      <c r="A54" s="412">
        <v>49</v>
      </c>
      <c r="B54" s="599" t="s">
        <v>180</v>
      </c>
      <c r="C54" s="585">
        <f>'Table 3 Levels 1&amp;2'!AN56</f>
        <v>60756020</v>
      </c>
      <c r="D54" s="18">
        <f>ROUND(C54/'Table 3 Levels 1&amp;2'!C56,2)</f>
        <v>3962.95</v>
      </c>
      <c r="E54" s="433">
        <f t="shared" si="2"/>
        <v>28</v>
      </c>
      <c r="F54" s="18">
        <f>'[4]Table 3 Levels 1&amp;2'!AN57</f>
        <v>58536724</v>
      </c>
      <c r="G54" s="18">
        <f t="shared" si="11"/>
        <v>2219296</v>
      </c>
      <c r="H54" s="17">
        <f t="shared" si="3"/>
        <v>2219296</v>
      </c>
      <c r="I54" s="136">
        <f>ROUND(H54/+'Table 3 Levels 1&amp;2'!C56,0)</f>
        <v>145</v>
      </c>
      <c r="J54" s="136">
        <f t="shared" si="4"/>
        <v>0</v>
      </c>
      <c r="K54" s="586">
        <f t="shared" si="5"/>
        <v>0</v>
      </c>
      <c r="L54" s="136">
        <f>IF(J54&lt;0,0,(ROUND(D54*'Table 8 Membership'!Y56,0)*-1))</f>
        <v>0</v>
      </c>
      <c r="M54" s="17">
        <f t="shared" si="6"/>
        <v>2219296</v>
      </c>
      <c r="N54" s="17">
        <f t="shared" si="10"/>
        <v>981121</v>
      </c>
      <c r="O54" s="498">
        <v>0</v>
      </c>
      <c r="P54" s="107">
        <v>15355</v>
      </c>
      <c r="Q54" s="17">
        <f t="shared" si="7"/>
        <v>0</v>
      </c>
      <c r="R54" s="658">
        <f>ROUND(Q54*'Table 3 Levels 1&amp;2'!C56,0)</f>
        <v>0</v>
      </c>
      <c r="S54" s="503">
        <v>20</v>
      </c>
      <c r="T54" s="548">
        <f t="shared" si="8"/>
        <v>301021</v>
      </c>
      <c r="U54" s="217">
        <v>0</v>
      </c>
      <c r="V54" s="217">
        <f>ROUND(U54*'Table 3 Levels 1&amp;2'!C56,0)</f>
        <v>0</v>
      </c>
      <c r="W54" s="217">
        <v>0</v>
      </c>
      <c r="X54" s="548">
        <f t="shared" si="9"/>
        <v>0</v>
      </c>
      <c r="Y54" s="569">
        <f t="shared" si="12"/>
        <v>301021</v>
      </c>
    </row>
    <row r="55" spans="1:25" ht="12.75">
      <c r="A55" s="413">
        <v>50</v>
      </c>
      <c r="B55" s="600" t="s">
        <v>181</v>
      </c>
      <c r="C55" s="587">
        <f>'Table 3 Levels 1&amp;2'!AN57</f>
        <v>34307395</v>
      </c>
      <c r="D55" s="19">
        <f>ROUND(C55/'Table 3 Levels 1&amp;2'!C57,2)</f>
        <v>4096.89</v>
      </c>
      <c r="E55" s="434">
        <f t="shared" si="2"/>
        <v>21</v>
      </c>
      <c r="F55" s="19">
        <f>'[4]Table 3 Levels 1&amp;2'!AN58</f>
        <v>32981710</v>
      </c>
      <c r="G55" s="19">
        <f t="shared" si="11"/>
        <v>1325685</v>
      </c>
      <c r="H55" s="246">
        <f t="shared" si="3"/>
        <v>1325685</v>
      </c>
      <c r="I55" s="550">
        <f>ROUND(H55/+'Table 3 Levels 1&amp;2'!C57,0)</f>
        <v>158</v>
      </c>
      <c r="J55" s="550">
        <f t="shared" si="4"/>
        <v>0</v>
      </c>
      <c r="K55" s="588">
        <f t="shared" si="5"/>
        <v>0</v>
      </c>
      <c r="L55" s="550">
        <f>IF(J55&lt;0,0,(ROUND(D55*'Table 8 Membership'!Y57,0)*-1))</f>
        <v>0</v>
      </c>
      <c r="M55" s="246">
        <f t="shared" si="6"/>
        <v>1325685</v>
      </c>
      <c r="N55" s="246">
        <f t="shared" si="10"/>
        <v>586068</v>
      </c>
      <c r="O55" s="499">
        <v>395897</v>
      </c>
      <c r="P55" s="547">
        <v>8420</v>
      </c>
      <c r="Q55" s="246">
        <f t="shared" si="7"/>
        <v>47</v>
      </c>
      <c r="R55" s="659">
        <f>ROUND(Q55*'Table 3 Levels 1&amp;2'!C57,0)</f>
        <v>393578</v>
      </c>
      <c r="S55" s="637">
        <v>14</v>
      </c>
      <c r="T55" s="549">
        <f t="shared" si="8"/>
        <v>210715</v>
      </c>
      <c r="U55" s="435">
        <v>0</v>
      </c>
      <c r="V55" s="435">
        <f>ROUND(U55*'Table 3 Levels 1&amp;2'!C57,0)</f>
        <v>0</v>
      </c>
      <c r="W55" s="435">
        <v>0</v>
      </c>
      <c r="X55" s="549">
        <f t="shared" si="9"/>
        <v>0</v>
      </c>
      <c r="Y55" s="570">
        <f t="shared" si="12"/>
        <v>604293</v>
      </c>
    </row>
    <row r="56" spans="1:25" ht="12.75">
      <c r="A56" s="412">
        <v>51</v>
      </c>
      <c r="B56" s="599" t="s">
        <v>182</v>
      </c>
      <c r="C56" s="585">
        <f>'Table 3 Levels 1&amp;2'!AN58</f>
        <v>36057190</v>
      </c>
      <c r="D56" s="18">
        <f>ROUND(C56/'Table 3 Levels 1&amp;2'!C58,2)</f>
        <v>3541.62</v>
      </c>
      <c r="E56" s="433">
        <f t="shared" si="2"/>
        <v>44</v>
      </c>
      <c r="F56" s="18">
        <f>'[4]Table 3 Levels 1&amp;2'!AN59</f>
        <v>35222181</v>
      </c>
      <c r="G56" s="18">
        <f t="shared" si="11"/>
        <v>835009</v>
      </c>
      <c r="H56" s="17">
        <f t="shared" si="3"/>
        <v>835009</v>
      </c>
      <c r="I56" s="136">
        <f>ROUND(H56/+'Table 3 Levels 1&amp;2'!C58,0)</f>
        <v>82</v>
      </c>
      <c r="J56" s="136">
        <f t="shared" si="4"/>
        <v>0</v>
      </c>
      <c r="K56" s="586">
        <f t="shared" si="5"/>
        <v>0</v>
      </c>
      <c r="L56" s="136">
        <f>IF(J56&lt;0,0,(ROUND(D56*'Table 8 Membership'!Y58,0)*-1))</f>
        <v>0</v>
      </c>
      <c r="M56" s="17">
        <f t="shared" si="6"/>
        <v>835009</v>
      </c>
      <c r="N56" s="17">
        <f t="shared" si="10"/>
        <v>369146</v>
      </c>
      <c r="O56" s="498">
        <v>392383</v>
      </c>
      <c r="P56" s="107">
        <v>10333</v>
      </c>
      <c r="Q56" s="17">
        <f t="shared" si="7"/>
        <v>38</v>
      </c>
      <c r="R56" s="658">
        <f>ROUND(Q56*'Table 3 Levels 1&amp;2'!C58,0)</f>
        <v>386878</v>
      </c>
      <c r="S56" s="503">
        <v>0</v>
      </c>
      <c r="T56" s="548">
        <f t="shared" si="8"/>
        <v>0</v>
      </c>
      <c r="U56" s="217">
        <v>0</v>
      </c>
      <c r="V56" s="217">
        <f>ROUND(U56*'Table 3 Levels 1&amp;2'!C58,0)</f>
        <v>0</v>
      </c>
      <c r="W56" s="217">
        <v>0</v>
      </c>
      <c r="X56" s="548">
        <f t="shared" si="9"/>
        <v>0</v>
      </c>
      <c r="Y56" s="569">
        <f t="shared" si="12"/>
        <v>386878</v>
      </c>
    </row>
    <row r="57" spans="1:25" ht="12.75">
      <c r="A57" s="412">
        <v>52</v>
      </c>
      <c r="B57" s="599" t="s">
        <v>183</v>
      </c>
      <c r="C57" s="585">
        <f>'Table 3 Levels 1&amp;2'!AN59</f>
        <v>133384241</v>
      </c>
      <c r="D57" s="18">
        <f>ROUND(C57/'Table 3 Levels 1&amp;2'!C59,2)</f>
        <v>3928.73</v>
      </c>
      <c r="E57" s="433">
        <f t="shared" si="2"/>
        <v>31</v>
      </c>
      <c r="F57" s="18">
        <f>'[4]Table 3 Levels 1&amp;2'!AN60</f>
        <v>124001470</v>
      </c>
      <c r="G57" s="18">
        <f t="shared" si="11"/>
        <v>9382771</v>
      </c>
      <c r="H57" s="17">
        <f t="shared" si="3"/>
        <v>9382771</v>
      </c>
      <c r="I57" s="136">
        <f>ROUND(H57/+'Table 3 Levels 1&amp;2'!C59,0)</f>
        <v>276</v>
      </c>
      <c r="J57" s="136">
        <f t="shared" si="4"/>
        <v>0</v>
      </c>
      <c r="K57" s="586">
        <f t="shared" si="5"/>
        <v>0</v>
      </c>
      <c r="L57" s="136">
        <f>IF(J57&lt;0,0,(ROUND(D57*'Table 8 Membership'!Y59,0)*-1))</f>
        <v>-4349104</v>
      </c>
      <c r="M57" s="17">
        <f t="shared" si="6"/>
        <v>5033667</v>
      </c>
      <c r="N57" s="17">
        <f t="shared" si="10"/>
        <v>2225317</v>
      </c>
      <c r="O57" s="498">
        <v>252443</v>
      </c>
      <c r="P57" s="107">
        <v>32870</v>
      </c>
      <c r="Q57" s="17">
        <f t="shared" si="7"/>
        <v>8</v>
      </c>
      <c r="R57" s="658">
        <f>ROUND(Q57*'Table 3 Levels 1&amp;2'!C59,0)</f>
        <v>271608</v>
      </c>
      <c r="S57" s="503">
        <v>5</v>
      </c>
      <c r="T57" s="548">
        <f t="shared" si="8"/>
        <v>75255</v>
      </c>
      <c r="U57" s="217">
        <v>0</v>
      </c>
      <c r="V57" s="217">
        <f>ROUND(U57*'Table 3 Levels 1&amp;2'!C59,0)</f>
        <v>0</v>
      </c>
      <c r="W57" s="217">
        <v>0</v>
      </c>
      <c r="X57" s="548">
        <f t="shared" si="9"/>
        <v>0</v>
      </c>
      <c r="Y57" s="569">
        <f t="shared" si="12"/>
        <v>346863</v>
      </c>
    </row>
    <row r="58" spans="1:25" ht="12.75">
      <c r="A58" s="412">
        <v>53</v>
      </c>
      <c r="B58" s="599" t="s">
        <v>184</v>
      </c>
      <c r="C58" s="585">
        <f>'Table 3 Levels 1&amp;2'!AN60</f>
        <v>66115357</v>
      </c>
      <c r="D58" s="18">
        <f>ROUND(C58/'Table 3 Levels 1&amp;2'!C60,2)</f>
        <v>3744.64</v>
      </c>
      <c r="E58" s="433">
        <f t="shared" si="2"/>
        <v>38</v>
      </c>
      <c r="F58" s="18">
        <f>'[4]Table 3 Levels 1&amp;2'!AN61</f>
        <v>64161099</v>
      </c>
      <c r="G58" s="18">
        <f t="shared" si="11"/>
        <v>1954258</v>
      </c>
      <c r="H58" s="17">
        <f t="shared" si="3"/>
        <v>1954258</v>
      </c>
      <c r="I58" s="136">
        <f>ROUND(H58/+'Table 3 Levels 1&amp;2'!C60,0)</f>
        <v>111</v>
      </c>
      <c r="J58" s="136">
        <f t="shared" si="4"/>
        <v>0</v>
      </c>
      <c r="K58" s="586">
        <f t="shared" si="5"/>
        <v>0</v>
      </c>
      <c r="L58" s="136">
        <f>IF(J58&lt;0,0,(ROUND(D58*'Table 8 Membership'!Y60,0)*-1))</f>
        <v>0</v>
      </c>
      <c r="M58" s="17">
        <f t="shared" si="6"/>
        <v>1954258</v>
      </c>
      <c r="N58" s="17">
        <f t="shared" si="10"/>
        <v>863951</v>
      </c>
      <c r="O58" s="498">
        <v>2224643</v>
      </c>
      <c r="P58" s="107">
        <v>17911</v>
      </c>
      <c r="Q58" s="17">
        <f t="shared" si="7"/>
        <v>124</v>
      </c>
      <c r="R58" s="658">
        <f>ROUND(Q58*'Table 3 Levels 1&amp;2'!C60,0)</f>
        <v>2189344</v>
      </c>
      <c r="S58" s="503">
        <v>1</v>
      </c>
      <c r="T58" s="548">
        <f>ROUND($T$4*S58,0)</f>
        <v>15051</v>
      </c>
      <c r="U58" s="217">
        <v>0</v>
      </c>
      <c r="V58" s="217">
        <f>ROUND(U58*'Table 3 Levels 1&amp;2'!C60,0)</f>
        <v>0</v>
      </c>
      <c r="W58" s="217">
        <v>0</v>
      </c>
      <c r="X58" s="548">
        <f t="shared" si="9"/>
        <v>0</v>
      </c>
      <c r="Y58" s="569">
        <f t="shared" si="12"/>
        <v>2204395</v>
      </c>
    </row>
    <row r="59" spans="1:25" ht="12.75">
      <c r="A59" s="412">
        <v>54</v>
      </c>
      <c r="B59" s="599" t="s">
        <v>185</v>
      </c>
      <c r="C59" s="585">
        <f>'Table 3 Levels 1&amp;2'!AN61</f>
        <v>3952395</v>
      </c>
      <c r="D59" s="18">
        <f>ROUND(C59/'Table 3 Levels 1&amp;2'!C61,2)</f>
        <v>4286.76</v>
      </c>
      <c r="E59" s="433">
        <f t="shared" si="2"/>
        <v>15</v>
      </c>
      <c r="F59" s="18">
        <f>'[4]Table 3 Levels 1&amp;2'!AN62</f>
        <v>4074281</v>
      </c>
      <c r="G59" s="18">
        <f t="shared" si="11"/>
        <v>-121886</v>
      </c>
      <c r="H59" s="17">
        <f t="shared" si="3"/>
        <v>0</v>
      </c>
      <c r="I59" s="136">
        <f>ROUND(H59/+'Table 3 Levels 1&amp;2'!C61,0)</f>
        <v>0</v>
      </c>
      <c r="J59" s="136">
        <f t="shared" si="4"/>
        <v>-121886</v>
      </c>
      <c r="K59" s="586">
        <f t="shared" si="5"/>
        <v>1</v>
      </c>
      <c r="L59" s="136">
        <f>IF(J59&lt;0,0,(ROUND(D59*'Table 8 Membership'!Y61,0)*-1))</f>
        <v>0</v>
      </c>
      <c r="M59" s="17">
        <f t="shared" si="6"/>
        <v>0</v>
      </c>
      <c r="N59" s="17">
        <f t="shared" si="10"/>
        <v>0</v>
      </c>
      <c r="O59" s="498">
        <v>148494</v>
      </c>
      <c r="P59" s="107">
        <v>954</v>
      </c>
      <c r="Q59" s="17">
        <f t="shared" si="7"/>
        <v>156</v>
      </c>
      <c r="R59" s="658">
        <f>ROUND(Q59*'Table 3 Levels 1&amp;2'!C61,0)</f>
        <v>143832</v>
      </c>
      <c r="S59" s="503">
        <v>2</v>
      </c>
      <c r="T59" s="548">
        <f>ROUND($T$4*S59,0)</f>
        <v>30102</v>
      </c>
      <c r="U59" s="217">
        <v>0</v>
      </c>
      <c r="V59" s="217">
        <f>ROUND(U59*'Table 3 Levels 1&amp;2'!C61,0)</f>
        <v>0</v>
      </c>
      <c r="W59" s="217">
        <v>0</v>
      </c>
      <c r="X59" s="548">
        <f t="shared" si="9"/>
        <v>0</v>
      </c>
      <c r="Y59" s="569">
        <f t="shared" si="12"/>
        <v>173934</v>
      </c>
    </row>
    <row r="60" spans="1:25" ht="12.75">
      <c r="A60" s="413">
        <v>55</v>
      </c>
      <c r="B60" s="600" t="s">
        <v>186</v>
      </c>
      <c r="C60" s="587">
        <f>'Table 3 Levels 1&amp;2'!AN62</f>
        <v>64547349</v>
      </c>
      <c r="D60" s="19">
        <f>ROUND(C60/'Table 3 Levels 1&amp;2'!C62,2)</f>
        <v>3348.93</v>
      </c>
      <c r="E60" s="434">
        <f t="shared" si="2"/>
        <v>49</v>
      </c>
      <c r="F60" s="19">
        <f>'[4]Table 3 Levels 1&amp;2'!AN63</f>
        <v>64281178</v>
      </c>
      <c r="G60" s="19">
        <f t="shared" si="11"/>
        <v>266171</v>
      </c>
      <c r="H60" s="246">
        <f t="shared" si="3"/>
        <v>266171</v>
      </c>
      <c r="I60" s="550">
        <f>ROUND(H60/+'Table 3 Levels 1&amp;2'!C62,0)</f>
        <v>14</v>
      </c>
      <c r="J60" s="550">
        <f t="shared" si="4"/>
        <v>0</v>
      </c>
      <c r="K60" s="588">
        <f t="shared" si="5"/>
        <v>0</v>
      </c>
      <c r="L60" s="550">
        <f>IF(J60&lt;0,0,(ROUND(D60*'Table 8 Membership'!Y62,0)*-1))</f>
        <v>-40187</v>
      </c>
      <c r="M60" s="246">
        <f t="shared" si="6"/>
        <v>225984</v>
      </c>
      <c r="N60" s="246">
        <f t="shared" si="10"/>
        <v>99905</v>
      </c>
      <c r="O60" s="499">
        <v>2899787</v>
      </c>
      <c r="P60" s="547">
        <v>19285</v>
      </c>
      <c r="Q60" s="246">
        <f t="shared" si="7"/>
        <v>150</v>
      </c>
      <c r="R60" s="659">
        <f>ROUND(Q60*'Table 3 Levels 1&amp;2'!C62,0)</f>
        <v>2891100</v>
      </c>
      <c r="S60" s="637">
        <v>1</v>
      </c>
      <c r="T60" s="549">
        <f>ROUND($T$4*S60,0)</f>
        <v>15051</v>
      </c>
      <c r="U60" s="435">
        <v>0</v>
      </c>
      <c r="V60" s="435">
        <f>ROUND(U60*'Table 3 Levels 1&amp;2'!C62,0)</f>
        <v>0</v>
      </c>
      <c r="W60" s="435">
        <v>0</v>
      </c>
      <c r="X60" s="549">
        <f t="shared" si="9"/>
        <v>0</v>
      </c>
      <c r="Y60" s="570">
        <f t="shared" si="12"/>
        <v>2906151</v>
      </c>
    </row>
    <row r="61" spans="1:25" ht="12.75">
      <c r="A61" s="412">
        <v>56</v>
      </c>
      <c r="B61" s="599" t="s">
        <v>187</v>
      </c>
      <c r="C61" s="585">
        <f>'Table 3 Levels 1&amp;2'!AN63</f>
        <v>12856765</v>
      </c>
      <c r="D61" s="18">
        <f>ROUND(C61/'Table 3 Levels 1&amp;2'!C63,2)</f>
        <v>3749.42</v>
      </c>
      <c r="E61" s="433">
        <f t="shared" si="2"/>
        <v>37</v>
      </c>
      <c r="F61" s="18">
        <f>'[4]Table 3 Levels 1&amp;2'!AN64</f>
        <v>12375431</v>
      </c>
      <c r="G61" s="18">
        <f t="shared" si="11"/>
        <v>481334</v>
      </c>
      <c r="H61" s="17">
        <f t="shared" si="3"/>
        <v>481334</v>
      </c>
      <c r="I61" s="136">
        <f>ROUND(H61/+'Table 3 Levels 1&amp;2'!C63,0)</f>
        <v>140</v>
      </c>
      <c r="J61" s="136">
        <f t="shared" si="4"/>
        <v>0</v>
      </c>
      <c r="K61" s="586">
        <f t="shared" si="5"/>
        <v>0</v>
      </c>
      <c r="L61" s="136">
        <f>IF(J61&lt;0,0,(ROUND(D61*'Table 8 Membership'!Y63,0)*-1))</f>
        <v>0</v>
      </c>
      <c r="M61" s="17">
        <f t="shared" si="6"/>
        <v>481334</v>
      </c>
      <c r="N61" s="17">
        <f t="shared" si="10"/>
        <v>212791</v>
      </c>
      <c r="O61" s="498">
        <v>0</v>
      </c>
      <c r="P61" s="107">
        <v>3495</v>
      </c>
      <c r="Q61" s="17">
        <f t="shared" si="7"/>
        <v>0</v>
      </c>
      <c r="R61" s="658">
        <f>ROUND(Q61*'Table 3 Levels 1&amp;2'!C63,0)</f>
        <v>0</v>
      </c>
      <c r="S61" s="503">
        <v>0</v>
      </c>
      <c r="T61" s="548">
        <f t="shared" si="8"/>
        <v>0</v>
      </c>
      <c r="U61" s="217">
        <v>0</v>
      </c>
      <c r="V61" s="217">
        <f>ROUND(U61*'Table 3 Levels 1&amp;2'!C63,0)</f>
        <v>0</v>
      </c>
      <c r="W61" s="217">
        <v>0</v>
      </c>
      <c r="X61" s="548">
        <f t="shared" si="9"/>
        <v>0</v>
      </c>
      <c r="Y61" s="569">
        <f t="shared" si="12"/>
        <v>0</v>
      </c>
    </row>
    <row r="62" spans="1:25" ht="12.75">
      <c r="A62" s="412">
        <v>57</v>
      </c>
      <c r="B62" s="599" t="s">
        <v>188</v>
      </c>
      <c r="C62" s="585">
        <f>'Table 3 Levels 1&amp;2'!AN64</f>
        <v>28361277</v>
      </c>
      <c r="D62" s="18">
        <f>ROUND(C62/'Table 3 Levels 1&amp;2'!C64,2)</f>
        <v>3256.17</v>
      </c>
      <c r="E62" s="433">
        <f t="shared" si="2"/>
        <v>50</v>
      </c>
      <c r="F62" s="18">
        <f>'[4]Table 3 Levels 1&amp;2'!AN65</f>
        <v>26756259</v>
      </c>
      <c r="G62" s="18">
        <f t="shared" si="11"/>
        <v>1605018</v>
      </c>
      <c r="H62" s="17">
        <f t="shared" si="3"/>
        <v>1605018</v>
      </c>
      <c r="I62" s="136">
        <f>ROUND(H62/+'Table 3 Levels 1&amp;2'!C64,0)</f>
        <v>184</v>
      </c>
      <c r="J62" s="136">
        <f t="shared" si="4"/>
        <v>0</v>
      </c>
      <c r="K62" s="586">
        <f t="shared" si="5"/>
        <v>0</v>
      </c>
      <c r="L62" s="136">
        <f>IF(J62&lt;0,0,(ROUND(D62*'Table 8 Membership'!Y64,0)*-1))</f>
        <v>-74892</v>
      </c>
      <c r="M62" s="17">
        <f t="shared" si="6"/>
        <v>1530126</v>
      </c>
      <c r="N62" s="17">
        <f t="shared" si="10"/>
        <v>676448</v>
      </c>
      <c r="O62" s="498">
        <v>1404074</v>
      </c>
      <c r="P62" s="107">
        <v>8687</v>
      </c>
      <c r="Q62" s="17">
        <f t="shared" si="7"/>
        <v>162</v>
      </c>
      <c r="R62" s="658">
        <f>ROUND(Q62*'Table 3 Levels 1&amp;2'!C64,0)</f>
        <v>1411020</v>
      </c>
      <c r="S62" s="503">
        <v>0</v>
      </c>
      <c r="T62" s="548">
        <f t="shared" si="8"/>
        <v>0</v>
      </c>
      <c r="U62" s="217">
        <v>0</v>
      </c>
      <c r="V62" s="217">
        <f>ROUND(U62*'Table 3 Levels 1&amp;2'!C64,0)</f>
        <v>0</v>
      </c>
      <c r="W62" s="217">
        <v>0</v>
      </c>
      <c r="X62" s="548">
        <f t="shared" si="9"/>
        <v>0</v>
      </c>
      <c r="Y62" s="569">
        <f t="shared" si="12"/>
        <v>1411020</v>
      </c>
    </row>
    <row r="63" spans="1:25" ht="12.75">
      <c r="A63" s="412">
        <v>58</v>
      </c>
      <c r="B63" s="599" t="s">
        <v>189</v>
      </c>
      <c r="C63" s="585">
        <f>'Table 3 Levels 1&amp;2'!AN65</f>
        <v>38800574</v>
      </c>
      <c r="D63" s="18">
        <f>ROUND(C63/'Table 3 Levels 1&amp;2'!C65,2)</f>
        <v>4028.72</v>
      </c>
      <c r="E63" s="433">
        <f t="shared" si="2"/>
        <v>22</v>
      </c>
      <c r="F63" s="18">
        <f>'[4]Table 3 Levels 1&amp;2'!AN66</f>
        <v>38183807</v>
      </c>
      <c r="G63" s="18">
        <f t="shared" si="11"/>
        <v>616767</v>
      </c>
      <c r="H63" s="17">
        <f t="shared" si="3"/>
        <v>616767</v>
      </c>
      <c r="I63" s="136">
        <f>ROUND(H63/+'Table 3 Levels 1&amp;2'!C65,0)</f>
        <v>64</v>
      </c>
      <c r="J63" s="136">
        <f t="shared" si="4"/>
        <v>0</v>
      </c>
      <c r="K63" s="586">
        <f t="shared" si="5"/>
        <v>0</v>
      </c>
      <c r="L63" s="136">
        <f>IF(J63&lt;0,0,(ROUND(D63*'Table 8 Membership'!Y65,0)*-1))</f>
        <v>0</v>
      </c>
      <c r="M63" s="17">
        <f t="shared" si="6"/>
        <v>616767</v>
      </c>
      <c r="N63" s="17">
        <f t="shared" si="10"/>
        <v>272664</v>
      </c>
      <c r="O63" s="498">
        <v>1557880</v>
      </c>
      <c r="P63" s="107">
        <v>9792</v>
      </c>
      <c r="Q63" s="17">
        <f t="shared" si="7"/>
        <v>159</v>
      </c>
      <c r="R63" s="658">
        <f>ROUND(Q63*'Table 3 Levels 1&amp;2'!C65,0)</f>
        <v>1531329</v>
      </c>
      <c r="S63" s="503">
        <v>3</v>
      </c>
      <c r="T63" s="548">
        <f>ROUND($T$4*S63,0)</f>
        <v>45153</v>
      </c>
      <c r="U63" s="217">
        <v>0</v>
      </c>
      <c r="V63" s="217">
        <f>ROUND(U63*'Table 3 Levels 1&amp;2'!C65,0)</f>
        <v>0</v>
      </c>
      <c r="W63" s="217">
        <v>0</v>
      </c>
      <c r="X63" s="548">
        <f t="shared" si="9"/>
        <v>0</v>
      </c>
      <c r="Y63" s="569">
        <f t="shared" si="12"/>
        <v>1576482</v>
      </c>
    </row>
    <row r="64" spans="1:25" ht="12.75">
      <c r="A64" s="412">
        <v>59</v>
      </c>
      <c r="B64" s="599" t="s">
        <v>190</v>
      </c>
      <c r="C64" s="585">
        <f>'Table 3 Levels 1&amp;2'!AN66</f>
        <v>20776478</v>
      </c>
      <c r="D64" s="18">
        <f>ROUND(C64/'Table 3 Levels 1&amp;2'!C66,2)</f>
        <v>4586.42</v>
      </c>
      <c r="E64" s="433">
        <f t="shared" si="2"/>
        <v>2</v>
      </c>
      <c r="F64" s="18">
        <f>'[4]Table 3 Levels 1&amp;2'!AN67</f>
        <v>19990759</v>
      </c>
      <c r="G64" s="18">
        <f t="shared" si="11"/>
        <v>785719</v>
      </c>
      <c r="H64" s="17">
        <f t="shared" si="3"/>
        <v>785719</v>
      </c>
      <c r="I64" s="136">
        <f>ROUND(H64/+'Table 3 Levels 1&amp;2'!C66,0)</f>
        <v>173</v>
      </c>
      <c r="J64" s="136">
        <f t="shared" si="4"/>
        <v>0</v>
      </c>
      <c r="K64" s="586">
        <f t="shared" si="5"/>
        <v>0</v>
      </c>
      <c r="L64" s="136">
        <f>IF(J64&lt;0,0,(ROUND(D64*'Table 8 Membership'!Y66,0)*-1))</f>
        <v>-155938</v>
      </c>
      <c r="M64" s="17">
        <f t="shared" si="6"/>
        <v>629781</v>
      </c>
      <c r="N64" s="17">
        <f t="shared" si="10"/>
        <v>278418</v>
      </c>
      <c r="O64" s="498">
        <v>597088</v>
      </c>
      <c r="P64" s="107">
        <v>4495</v>
      </c>
      <c r="Q64" s="17">
        <f t="shared" si="7"/>
        <v>133</v>
      </c>
      <c r="R64" s="658">
        <f>ROUND(Q64*'Table 3 Levels 1&amp;2'!C66,0)</f>
        <v>602490</v>
      </c>
      <c r="S64" s="503">
        <v>0</v>
      </c>
      <c r="T64" s="548">
        <f t="shared" si="8"/>
        <v>0</v>
      </c>
      <c r="U64" s="217">
        <v>0</v>
      </c>
      <c r="V64" s="217">
        <f>ROUND(U64*'Table 3 Levels 1&amp;2'!C66,0)</f>
        <v>0</v>
      </c>
      <c r="W64" s="217">
        <v>0</v>
      </c>
      <c r="X64" s="548">
        <f t="shared" si="9"/>
        <v>0</v>
      </c>
      <c r="Y64" s="569">
        <f t="shared" si="12"/>
        <v>602490</v>
      </c>
    </row>
    <row r="65" spans="1:25" ht="12.75">
      <c r="A65" s="413">
        <v>60</v>
      </c>
      <c r="B65" s="600" t="s">
        <v>191</v>
      </c>
      <c r="C65" s="587">
        <f>'Table 3 Levels 1&amp;2'!AN67</f>
        <v>27993448</v>
      </c>
      <c r="D65" s="19">
        <f>ROUND(C65/'Table 3 Levels 1&amp;2'!C67,2)</f>
        <v>3724.51</v>
      </c>
      <c r="E65" s="434">
        <f t="shared" si="2"/>
        <v>39</v>
      </c>
      <c r="F65" s="19">
        <f>'[4]Table 3 Levels 1&amp;2'!AN68</f>
        <v>26417984</v>
      </c>
      <c r="G65" s="19">
        <f t="shared" si="11"/>
        <v>1575464</v>
      </c>
      <c r="H65" s="246">
        <f t="shared" si="3"/>
        <v>1575464</v>
      </c>
      <c r="I65" s="550">
        <f>ROUND(H65/+'Table 3 Levels 1&amp;2'!C67,0)</f>
        <v>210</v>
      </c>
      <c r="J65" s="550">
        <f t="shared" si="4"/>
        <v>0</v>
      </c>
      <c r="K65" s="588">
        <f t="shared" si="5"/>
        <v>0</v>
      </c>
      <c r="L65" s="550">
        <f>IF(J65&lt;0,0,(ROUND(D65*'Table 8 Membership'!Y67,0)*-1))</f>
        <v>0</v>
      </c>
      <c r="M65" s="246">
        <f t="shared" si="6"/>
        <v>1575464</v>
      </c>
      <c r="N65" s="246">
        <f t="shared" si="10"/>
        <v>696492</v>
      </c>
      <c r="O65" s="499">
        <v>91600</v>
      </c>
      <c r="P65" s="547">
        <v>7563</v>
      </c>
      <c r="Q65" s="246">
        <f t="shared" si="7"/>
        <v>12</v>
      </c>
      <c r="R65" s="659">
        <f>ROUND(Q65*'Table 3 Levels 1&amp;2'!C67,0)</f>
        <v>90192</v>
      </c>
      <c r="S65" s="637">
        <v>0</v>
      </c>
      <c r="T65" s="549">
        <f t="shared" si="8"/>
        <v>0</v>
      </c>
      <c r="U65" s="435">
        <v>0</v>
      </c>
      <c r="V65" s="435">
        <f>ROUND(U65*'Table 3 Levels 1&amp;2'!C67,0)</f>
        <v>0</v>
      </c>
      <c r="W65" s="435">
        <v>0</v>
      </c>
      <c r="X65" s="549">
        <f t="shared" si="9"/>
        <v>0</v>
      </c>
      <c r="Y65" s="570">
        <f t="shared" si="12"/>
        <v>90192</v>
      </c>
    </row>
    <row r="66" spans="1:25" ht="12.75">
      <c r="A66" s="412">
        <v>61</v>
      </c>
      <c r="B66" s="599" t="s">
        <v>192</v>
      </c>
      <c r="C66" s="585">
        <f>'Table 3 Levels 1&amp;2'!AN68</f>
        <v>8985870</v>
      </c>
      <c r="D66" s="18">
        <f>ROUND(C66/'Table 3 Levels 1&amp;2'!C68,2)</f>
        <v>2560.08</v>
      </c>
      <c r="E66" s="433">
        <f t="shared" si="2"/>
        <v>57</v>
      </c>
      <c r="F66" s="18">
        <f>'[4]Table 3 Levels 1&amp;2'!AN69</f>
        <v>8391488</v>
      </c>
      <c r="G66" s="18">
        <f t="shared" si="11"/>
        <v>594382</v>
      </c>
      <c r="H66" s="17">
        <f t="shared" si="3"/>
        <v>594382</v>
      </c>
      <c r="I66" s="136">
        <f>ROUND(H66/+'Table 3 Levels 1&amp;2'!C68,0)</f>
        <v>169</v>
      </c>
      <c r="J66" s="136">
        <f t="shared" si="4"/>
        <v>0</v>
      </c>
      <c r="K66" s="586">
        <f t="shared" si="5"/>
        <v>0</v>
      </c>
      <c r="L66" s="136">
        <f>IF(J66&lt;0,0,(ROUND(D66*'Table 8 Membership'!Y68,0)*-1))</f>
        <v>0</v>
      </c>
      <c r="M66" s="17">
        <f t="shared" si="6"/>
        <v>594382</v>
      </c>
      <c r="N66" s="17">
        <f t="shared" si="10"/>
        <v>262768</v>
      </c>
      <c r="O66" s="498">
        <v>605895</v>
      </c>
      <c r="P66" s="107">
        <v>3649</v>
      </c>
      <c r="Q66" s="17">
        <f t="shared" si="7"/>
        <v>166</v>
      </c>
      <c r="R66" s="658">
        <f>ROUND(Q66*'Table 3 Levels 1&amp;2'!C68,0)</f>
        <v>582660</v>
      </c>
      <c r="S66" s="503">
        <v>0</v>
      </c>
      <c r="T66" s="548">
        <f t="shared" si="8"/>
        <v>0</v>
      </c>
      <c r="U66" s="217">
        <v>0</v>
      </c>
      <c r="V66" s="217">
        <f>ROUND(U66*'Table 3 Levels 1&amp;2'!C68,0)</f>
        <v>0</v>
      </c>
      <c r="W66" s="217">
        <v>0</v>
      </c>
      <c r="X66" s="548">
        <f t="shared" si="9"/>
        <v>0</v>
      </c>
      <c r="Y66" s="569">
        <f t="shared" si="12"/>
        <v>582660</v>
      </c>
    </row>
    <row r="67" spans="1:25" ht="12.75">
      <c r="A67" s="412">
        <v>62</v>
      </c>
      <c r="B67" s="599" t="s">
        <v>193</v>
      </c>
      <c r="C67" s="585">
        <f>'Table 3 Levels 1&amp;2'!AN69</f>
        <v>9450986</v>
      </c>
      <c r="D67" s="18">
        <f>ROUND(C67/'Table 3 Levels 1&amp;2'!C69,2)</f>
        <v>3967.67</v>
      </c>
      <c r="E67" s="433">
        <f t="shared" si="2"/>
        <v>27</v>
      </c>
      <c r="F67" s="18">
        <f>'[4]Table 3 Levels 1&amp;2'!AN70</f>
        <v>9588317</v>
      </c>
      <c r="G67" s="18">
        <f t="shared" si="11"/>
        <v>-137331</v>
      </c>
      <c r="H67" s="17">
        <f t="shared" si="3"/>
        <v>0</v>
      </c>
      <c r="I67" s="136">
        <f>ROUND(H67/+'Table 3 Levels 1&amp;2'!C69,0)</f>
        <v>0</v>
      </c>
      <c r="J67" s="136">
        <f t="shared" si="4"/>
        <v>-137331</v>
      </c>
      <c r="K67" s="586">
        <f t="shared" si="5"/>
        <v>1</v>
      </c>
      <c r="L67" s="136">
        <f>IF(J67&lt;0,0,(ROUND(D67*'Table 8 Membership'!Y69,0)*-1))</f>
        <v>0</v>
      </c>
      <c r="M67" s="17">
        <f t="shared" si="6"/>
        <v>0</v>
      </c>
      <c r="N67" s="17">
        <f t="shared" si="10"/>
        <v>0</v>
      </c>
      <c r="O67" s="498">
        <v>25718</v>
      </c>
      <c r="P67" s="107">
        <v>2482</v>
      </c>
      <c r="Q67" s="17">
        <f t="shared" si="7"/>
        <v>10</v>
      </c>
      <c r="R67" s="658">
        <f>ROUND(Q67*'Table 3 Levels 1&amp;2'!C69,0)</f>
        <v>23820</v>
      </c>
      <c r="S67" s="503">
        <v>0</v>
      </c>
      <c r="T67" s="548">
        <f t="shared" si="8"/>
        <v>0</v>
      </c>
      <c r="U67" s="217">
        <v>0</v>
      </c>
      <c r="V67" s="217">
        <f>ROUND(U67*'Table 3 Levels 1&amp;2'!C69,0)</f>
        <v>0</v>
      </c>
      <c r="W67" s="217">
        <v>0</v>
      </c>
      <c r="X67" s="548">
        <f t="shared" si="9"/>
        <v>0</v>
      </c>
      <c r="Y67" s="569">
        <f t="shared" si="12"/>
        <v>23820</v>
      </c>
    </row>
    <row r="68" spans="1:25" ht="12.75">
      <c r="A68" s="412">
        <v>63</v>
      </c>
      <c r="B68" s="599" t="s">
        <v>194</v>
      </c>
      <c r="C68" s="585">
        <f>'Table 3 Levels 1&amp;2'!AN70</f>
        <v>2554434</v>
      </c>
      <c r="D68" s="18">
        <f>ROUND(C68/'Table 3 Levels 1&amp;2'!C70,2)</f>
        <v>1148.58</v>
      </c>
      <c r="E68" s="433">
        <f t="shared" si="2"/>
        <v>65</v>
      </c>
      <c r="F68" s="18">
        <f>'[4]Table 3 Levels 1&amp;2'!AN71</f>
        <v>1437889</v>
      </c>
      <c r="G68" s="18">
        <f t="shared" si="11"/>
        <v>1116545</v>
      </c>
      <c r="H68" s="17">
        <f t="shared" si="3"/>
        <v>1116545</v>
      </c>
      <c r="I68" s="136">
        <f>ROUND(H68/+'Table 3 Levels 1&amp;2'!C70,0)</f>
        <v>502</v>
      </c>
      <c r="J68" s="136">
        <f t="shared" si="4"/>
        <v>0</v>
      </c>
      <c r="K68" s="586">
        <f t="shared" si="5"/>
        <v>0</v>
      </c>
      <c r="L68" s="136">
        <f>IF(J68&lt;0,0,(ROUND(D68*'Table 8 Membership'!Y70,0)*-1))</f>
        <v>-17229</v>
      </c>
      <c r="M68" s="17">
        <f t="shared" si="6"/>
        <v>1099316</v>
      </c>
      <c r="N68" s="17">
        <f t="shared" si="10"/>
        <v>485993</v>
      </c>
      <c r="O68" s="498">
        <v>0</v>
      </c>
      <c r="P68" s="107">
        <v>2209</v>
      </c>
      <c r="Q68" s="17">
        <f t="shared" si="7"/>
        <v>0</v>
      </c>
      <c r="R68" s="658">
        <f>ROUND(Q68*'Table 3 Levels 1&amp;2'!C70,0)</f>
        <v>0</v>
      </c>
      <c r="S68" s="503">
        <v>0</v>
      </c>
      <c r="T68" s="548">
        <f t="shared" si="8"/>
        <v>0</v>
      </c>
      <c r="U68" s="217">
        <v>2697</v>
      </c>
      <c r="V68" s="217">
        <f>ROUND(U68*'Table 3 Levels 1&amp;2'!C70,0)</f>
        <v>5998128</v>
      </c>
      <c r="W68" s="217">
        <v>5908357</v>
      </c>
      <c r="X68" s="548">
        <f t="shared" si="9"/>
        <v>5908357</v>
      </c>
      <c r="Y68" s="569">
        <f t="shared" si="12"/>
        <v>5908357</v>
      </c>
    </row>
    <row r="69" spans="1:25" ht="12.75">
      <c r="A69" s="412">
        <v>64</v>
      </c>
      <c r="B69" s="599" t="s">
        <v>195</v>
      </c>
      <c r="C69" s="585">
        <f>'Table 3 Levels 1&amp;2'!AN71</f>
        <v>11913282</v>
      </c>
      <c r="D69" s="18">
        <f>ROUND(C69/'Table 3 Levels 1&amp;2'!C71,2)</f>
        <v>4286.9</v>
      </c>
      <c r="E69" s="433">
        <f t="shared" si="2"/>
        <v>14</v>
      </c>
      <c r="F69" s="18">
        <f>'[4]Table 3 Levels 1&amp;2'!AN72</f>
        <v>11526879</v>
      </c>
      <c r="G69" s="18">
        <f t="shared" si="11"/>
        <v>386403</v>
      </c>
      <c r="H69" s="17">
        <f t="shared" si="3"/>
        <v>386403</v>
      </c>
      <c r="I69" s="136">
        <f>ROUND(H69/+'Table 3 Levels 1&amp;2'!C71,0)</f>
        <v>139</v>
      </c>
      <c r="J69" s="136">
        <f t="shared" si="4"/>
        <v>0</v>
      </c>
      <c r="K69" s="586">
        <f t="shared" si="5"/>
        <v>0</v>
      </c>
      <c r="L69" s="136">
        <f>IF(J69&lt;0,0,(ROUND(D69*'Table 8 Membership'!Y71,0)*-1))</f>
        <v>0</v>
      </c>
      <c r="M69" s="17">
        <f t="shared" si="6"/>
        <v>386403</v>
      </c>
      <c r="N69" s="17">
        <f t="shared" si="10"/>
        <v>170824</v>
      </c>
      <c r="O69" s="498">
        <v>157890</v>
      </c>
      <c r="P69" s="107">
        <v>2813</v>
      </c>
      <c r="Q69" s="17">
        <f t="shared" si="7"/>
        <v>56</v>
      </c>
      <c r="R69" s="658">
        <f>ROUND(Q69*'Table 3 Levels 1&amp;2'!C71,0)</f>
        <v>155624</v>
      </c>
      <c r="S69" s="503">
        <v>0</v>
      </c>
      <c r="T69" s="548">
        <f t="shared" si="8"/>
        <v>0</v>
      </c>
      <c r="U69" s="217">
        <v>0</v>
      </c>
      <c r="V69" s="217">
        <f>ROUND(U69*'Table 3 Levels 1&amp;2'!C71,0)</f>
        <v>0</v>
      </c>
      <c r="W69" s="217">
        <v>0</v>
      </c>
      <c r="X69" s="548">
        <f t="shared" si="9"/>
        <v>0</v>
      </c>
      <c r="Y69" s="569">
        <f t="shared" si="12"/>
        <v>155624</v>
      </c>
    </row>
    <row r="70" spans="1:25" ht="12.75">
      <c r="A70" s="412">
        <v>65</v>
      </c>
      <c r="B70" s="599" t="s">
        <v>196</v>
      </c>
      <c r="C70" s="585">
        <f>'Table 3 Levels 1&amp;2'!AN72</f>
        <v>26433857</v>
      </c>
      <c r="D70" s="18">
        <f>ROUND(C70/'Table 3 Levels 1&amp;2'!C72,2)</f>
        <v>2834.73</v>
      </c>
      <c r="E70" s="433">
        <f t="shared" si="2"/>
        <v>56</v>
      </c>
      <c r="F70" s="18">
        <f>'[4]Table 3 Levels 1&amp;2'!AN73</f>
        <v>25618587</v>
      </c>
      <c r="G70" s="18">
        <f>C70-F70</f>
        <v>815270</v>
      </c>
      <c r="H70" s="17">
        <f t="shared" si="3"/>
        <v>815270</v>
      </c>
      <c r="I70" s="136">
        <f>ROUND(H70/+'Table 3 Levels 1&amp;2'!C72,0)</f>
        <v>87</v>
      </c>
      <c r="J70" s="136">
        <f t="shared" si="4"/>
        <v>0</v>
      </c>
      <c r="K70" s="586">
        <f t="shared" si="5"/>
        <v>0</v>
      </c>
      <c r="L70" s="136">
        <f>IF(J70&lt;0,0,(ROUND(D70*'Table 8 Membership'!Y72,0)*-1))</f>
        <v>0</v>
      </c>
      <c r="M70" s="17">
        <f t="shared" si="6"/>
        <v>815270</v>
      </c>
      <c r="N70" s="17">
        <f t="shared" si="10"/>
        <v>360420</v>
      </c>
      <c r="O70" s="498">
        <v>1556890</v>
      </c>
      <c r="P70" s="107">
        <v>9603</v>
      </c>
      <c r="Q70" s="17">
        <f t="shared" si="7"/>
        <v>162</v>
      </c>
      <c r="R70" s="658">
        <f>ROUND(Q70*'Table 3 Levels 1&amp;2'!C72,0)</f>
        <v>1510650</v>
      </c>
      <c r="S70" s="503">
        <v>0</v>
      </c>
      <c r="T70" s="548">
        <f t="shared" si="8"/>
        <v>0</v>
      </c>
      <c r="U70" s="217">
        <v>0</v>
      </c>
      <c r="V70" s="217">
        <f>ROUND(U70*'Table 3 Levels 1&amp;2'!C72,0)</f>
        <v>0</v>
      </c>
      <c r="W70" s="217">
        <v>0</v>
      </c>
      <c r="X70" s="548">
        <f t="shared" si="9"/>
        <v>0</v>
      </c>
      <c r="Y70" s="569">
        <f>X70+T70+R70</f>
        <v>1510650</v>
      </c>
    </row>
    <row r="71" spans="1:25" ht="12.75">
      <c r="A71" s="413">
        <v>66</v>
      </c>
      <c r="B71" s="600" t="s">
        <v>197</v>
      </c>
      <c r="C71" s="587">
        <f>'Table 3 Levels 1&amp;2'!AN73</f>
        <v>12440633</v>
      </c>
      <c r="D71" s="19">
        <f>ROUND(C71/'Table 3 Levels 1&amp;2'!C73,2)</f>
        <v>4309.19</v>
      </c>
      <c r="E71" s="434">
        <f>RANK(D71,$D$6:$D$71)</f>
        <v>10</v>
      </c>
      <c r="F71" s="19">
        <f>'[4]Table 3 Levels 1&amp;2'!AN74</f>
        <v>12678246</v>
      </c>
      <c r="G71" s="19">
        <f>C71-F71</f>
        <v>-237613</v>
      </c>
      <c r="H71" s="246">
        <f>IF(G71&gt;0,G71,0)</f>
        <v>0</v>
      </c>
      <c r="I71" s="550">
        <f>ROUND(H71/+'Table 3 Levels 1&amp;2'!C73,0)</f>
        <v>0</v>
      </c>
      <c r="J71" s="550">
        <f>IF(G71&lt;0,G71,0)</f>
        <v>-237613</v>
      </c>
      <c r="K71" s="588">
        <f>IF(J71&lt;0,1,0)</f>
        <v>1</v>
      </c>
      <c r="L71" s="550">
        <f>IF(J71&lt;0,0,(ROUND(D71*'Table 8 Membership'!Y73,0)*-1))</f>
        <v>0</v>
      </c>
      <c r="M71" s="246">
        <f>H71+L71</f>
        <v>0</v>
      </c>
      <c r="N71" s="246">
        <f>ROUND((M71/2)/1.131,0)</f>
        <v>0</v>
      </c>
      <c r="O71" s="499">
        <v>0</v>
      </c>
      <c r="P71" s="547">
        <v>3019</v>
      </c>
      <c r="Q71" s="246">
        <f>ROUND(O71/P71,0)</f>
        <v>0</v>
      </c>
      <c r="R71" s="660">
        <f>ROUND(Q71*'Table 3 Levels 1&amp;2'!C73,0)</f>
        <v>0</v>
      </c>
      <c r="S71" s="637">
        <v>0</v>
      </c>
      <c r="T71" s="549">
        <f>ROUND($T$4*S71,0)</f>
        <v>0</v>
      </c>
      <c r="U71" s="435">
        <v>0</v>
      </c>
      <c r="V71" s="435">
        <f>ROUND(U71*'Table 3 Levels 1&amp;2'!C73,0)</f>
        <v>0</v>
      </c>
      <c r="W71" s="435">
        <v>0</v>
      </c>
      <c r="X71" s="549">
        <f>IF(V71&gt;W71,W71,V71)</f>
        <v>0</v>
      </c>
      <c r="Y71" s="570">
        <f>X71+T71+R71</f>
        <v>0</v>
      </c>
    </row>
    <row r="72" spans="1:25" ht="15.75" customHeight="1">
      <c r="A72" s="16"/>
      <c r="B72" s="601"/>
      <c r="C72" s="589"/>
      <c r="D72" s="18"/>
      <c r="E72" s="220"/>
      <c r="F72" s="106"/>
      <c r="G72" s="467"/>
      <c r="H72" s="238"/>
      <c r="I72" s="136"/>
      <c r="J72" s="136"/>
      <c r="K72" s="504"/>
      <c r="L72" s="576"/>
      <c r="M72" s="546"/>
      <c r="N72" s="540"/>
      <c r="O72" s="498"/>
      <c r="P72" s="530"/>
      <c r="Q72" s="21"/>
      <c r="R72" s="661"/>
      <c r="S72" s="505"/>
      <c r="T72" s="504"/>
      <c r="U72" s="217"/>
      <c r="V72" s="500"/>
      <c r="W72" s="217"/>
      <c r="X72" s="508"/>
      <c r="Y72" s="536"/>
    </row>
    <row r="73" spans="1:25" s="12" customFormat="1" ht="13.5" thickBot="1">
      <c r="A73" s="436"/>
      <c r="B73" s="602" t="s">
        <v>198</v>
      </c>
      <c r="C73" s="590">
        <f>SUM(C6:C71)</f>
        <v>2317556018</v>
      </c>
      <c r="D73" s="437">
        <f>ROUND(C73/'Table 3 Levels 1&amp;2'!C75,2)</f>
        <v>3272.28</v>
      </c>
      <c r="E73" s="438"/>
      <c r="F73" s="437">
        <f>SUM(F6:F71)</f>
        <v>2240426242</v>
      </c>
      <c r="G73" s="468">
        <f>SUM(G6:G71)</f>
        <v>77129776</v>
      </c>
      <c r="H73" s="466">
        <f>SUM(H6:H71)</f>
        <v>83555084</v>
      </c>
      <c r="I73" s="551">
        <f>ROUND(H73/+'Table 3 Levels 1&amp;2'!C75,0)</f>
        <v>118</v>
      </c>
      <c r="J73" s="551">
        <f aca="true" t="shared" si="13" ref="J73:P73">SUM(J6:J71)</f>
        <v>-6425308</v>
      </c>
      <c r="K73" s="591">
        <f t="shared" si="13"/>
        <v>11</v>
      </c>
      <c r="L73" s="577">
        <f t="shared" si="13"/>
        <v>-8713546</v>
      </c>
      <c r="M73" s="437">
        <f t="shared" si="13"/>
        <v>74841538</v>
      </c>
      <c r="N73" s="437">
        <f t="shared" si="13"/>
        <v>33086446</v>
      </c>
      <c r="O73" s="543">
        <f t="shared" si="13"/>
        <v>62042112</v>
      </c>
      <c r="P73" s="528">
        <f t="shared" si="13"/>
        <v>714020</v>
      </c>
      <c r="Q73" s="529">
        <f>ROUND(O73/P73,0)</f>
        <v>87</v>
      </c>
      <c r="R73" s="662">
        <f>SUM(R6:R71)</f>
        <v>61144671</v>
      </c>
      <c r="S73" s="506">
        <f>SUM(S6:S71)</f>
        <v>282</v>
      </c>
      <c r="T73" s="507">
        <f>SUM(T6:T71)</f>
        <v>4244399.5</v>
      </c>
      <c r="U73" s="437">
        <v>506.95766452135865</v>
      </c>
      <c r="V73" s="437">
        <f>SUM(V6:V71)</f>
        <v>84710267</v>
      </c>
      <c r="W73" s="437">
        <f>SUM(W6:W71)</f>
        <v>86930565</v>
      </c>
      <c r="X73" s="507">
        <f>SUM(X6:X71)</f>
        <v>84620496</v>
      </c>
      <c r="Y73" s="537">
        <f>SUM(Y6:Y71)</f>
        <v>150009566.5</v>
      </c>
    </row>
    <row r="74" spans="6:12" ht="13.5" thickTop="1">
      <c r="F74" s="52"/>
      <c r="L74" s="136"/>
    </row>
    <row r="75" spans="6:12" ht="12.75">
      <c r="F75" s="52"/>
      <c r="L75" s="136"/>
    </row>
    <row r="76" spans="6:12" ht="12.75">
      <c r="F76" s="52"/>
      <c r="L76" s="550"/>
    </row>
    <row r="77" spans="6:12" ht="12.75">
      <c r="F77" s="52"/>
      <c r="L77" s="136"/>
    </row>
    <row r="78" ht="12.75">
      <c r="L78" s="136"/>
    </row>
    <row r="79" ht="12.75">
      <c r="L79" s="136"/>
    </row>
    <row r="80" ht="12.75">
      <c r="L80" s="136"/>
    </row>
    <row r="81" ht="12.75">
      <c r="L81" s="550"/>
    </row>
    <row r="82" ht="12.75">
      <c r="L82" s="136"/>
    </row>
    <row r="83" ht="12.75">
      <c r="L83" s="136"/>
    </row>
    <row r="84" ht="12.75">
      <c r="L84" s="136"/>
    </row>
    <row r="85" ht="12.75">
      <c r="L85" s="136"/>
    </row>
    <row r="86" ht="12.75">
      <c r="L86" s="550"/>
    </row>
    <row r="87" ht="12.75">
      <c r="L87" s="136"/>
    </row>
    <row r="88" ht="12.75">
      <c r="L88" s="136"/>
    </row>
    <row r="89" ht="12.75">
      <c r="L89" s="136"/>
    </row>
    <row r="90" ht="12.75">
      <c r="L90" s="136"/>
    </row>
    <row r="91" ht="12.75">
      <c r="L91" s="550"/>
    </row>
    <row r="92" ht="12.75">
      <c r="L92" s="136"/>
    </row>
    <row r="93" ht="12.75">
      <c r="L93" s="136"/>
    </row>
    <row r="94" ht="12.75">
      <c r="L94" s="136"/>
    </row>
    <row r="95" ht="12.75">
      <c r="L95" s="136"/>
    </row>
    <row r="96" ht="12.75">
      <c r="L96" s="550"/>
    </row>
    <row r="97" ht="12.75">
      <c r="L97" s="136"/>
    </row>
    <row r="98" ht="12.75">
      <c r="L98" s="136"/>
    </row>
    <row r="99" ht="12.75">
      <c r="L99" s="136"/>
    </row>
    <row r="100" ht="12.75">
      <c r="L100" s="136"/>
    </row>
    <row r="101" ht="12.75">
      <c r="L101" s="550"/>
    </row>
    <row r="102" ht="12.75">
      <c r="L102" s="136"/>
    </row>
    <row r="103" ht="12.75">
      <c r="L103" s="136"/>
    </row>
    <row r="104" ht="12.75">
      <c r="L104" s="136"/>
    </row>
    <row r="105" ht="12.75">
      <c r="L105" s="136"/>
    </row>
    <row r="106" ht="12.75">
      <c r="L106" s="550"/>
    </row>
    <row r="107" ht="12.75">
      <c r="L107" s="136"/>
    </row>
    <row r="108" ht="12.75">
      <c r="L108" s="136"/>
    </row>
    <row r="109" ht="12.75">
      <c r="L109" s="136"/>
    </row>
    <row r="110" ht="12.75">
      <c r="L110" s="136"/>
    </row>
    <row r="111" ht="12.75">
      <c r="L111" s="550"/>
    </row>
    <row r="112" ht="12.75">
      <c r="L112" s="136"/>
    </row>
    <row r="113" ht="12.75">
      <c r="L113" s="136"/>
    </row>
    <row r="114" ht="12.75">
      <c r="L114" s="136"/>
    </row>
    <row r="115" ht="12.75">
      <c r="L115" s="136"/>
    </row>
    <row r="116" ht="12.75">
      <c r="L116" s="550"/>
    </row>
    <row r="117" ht="12.75">
      <c r="L117" s="136"/>
    </row>
    <row r="118" ht="12.75">
      <c r="L118" s="136"/>
    </row>
    <row r="119" ht="12.75">
      <c r="L119" s="136"/>
    </row>
    <row r="120" ht="12.75">
      <c r="L120" s="136"/>
    </row>
    <row r="121" ht="12.75">
      <c r="L121" s="550"/>
    </row>
    <row r="122" ht="12.75">
      <c r="L122" s="136"/>
    </row>
    <row r="123" ht="12.75">
      <c r="L123" s="136"/>
    </row>
    <row r="124" ht="12.75">
      <c r="L124" s="136"/>
    </row>
    <row r="125" ht="12.75">
      <c r="L125" s="136"/>
    </row>
    <row r="126" ht="12.75">
      <c r="L126" s="550"/>
    </row>
    <row r="127" ht="12.75">
      <c r="L127" s="136"/>
    </row>
    <row r="128" ht="12.75">
      <c r="L128" s="136"/>
    </row>
    <row r="129" ht="12.75">
      <c r="L129" s="136"/>
    </row>
    <row r="130" ht="12.75">
      <c r="L130" s="136"/>
    </row>
    <row r="131" ht="12.75">
      <c r="L131" s="550"/>
    </row>
    <row r="132" ht="12.75">
      <c r="L132" s="136"/>
    </row>
    <row r="133" ht="12.75">
      <c r="L133" s="136"/>
    </row>
    <row r="134" ht="12.75">
      <c r="L134" s="136"/>
    </row>
    <row r="135" ht="12.75">
      <c r="L135" s="136"/>
    </row>
    <row r="136" ht="12.75">
      <c r="L136" s="136"/>
    </row>
    <row r="137" ht="12.75">
      <c r="L137" s="550"/>
    </row>
  </sheetData>
  <mergeCells count="16">
    <mergeCell ref="S2:T2"/>
    <mergeCell ref="V3:V4"/>
    <mergeCell ref="U3:U4"/>
    <mergeCell ref="F3:F4"/>
    <mergeCell ref="U2:X2"/>
    <mergeCell ref="C2:K2"/>
    <mergeCell ref="L2:N2"/>
    <mergeCell ref="O2:R2"/>
    <mergeCell ref="G3:G4"/>
    <mergeCell ref="P3:P4"/>
    <mergeCell ref="W3:W4"/>
    <mergeCell ref="X3:X4"/>
    <mergeCell ref="D3:D4"/>
    <mergeCell ref="L3:L4"/>
    <mergeCell ref="M3:M4"/>
    <mergeCell ref="N3:N4"/>
  </mergeCells>
  <printOptions horizontalCentered="1"/>
  <pageMargins left="0.25" right="0.25" top="1.25" bottom="0.27" header="0.25" footer="0.35"/>
  <pageSetup firstPageNumber="10" useFirstPageNumber="1" horizontalDpi="600" verticalDpi="600" orientation="portrait" paperSize="5" scale="75" r:id="rId1"/>
  <headerFooter alignWithMargins="0">
    <oddHeader>&amp;L&amp;"Arial,Bold"&amp;16Table 4: FY 2002-03 MFP
Level 3 UNEQUALIZED FUNDING&amp;"Arial,Regular"&amp;10
</oddHeader>
    <oddFooter>&amp;L&amp;F\ &amp;A,&amp;D,&amp;T&amp;R&amp;P</oddFooter>
  </headerFooter>
  <colBreaks count="2" manualBreakCount="2">
    <brk id="11" min="1" max="76" man="1"/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="75" zoomScaleNormal="75" workbookViewId="0" topLeftCell="A1">
      <selection activeCell="D19" sqref="D19"/>
    </sheetView>
  </sheetViews>
  <sheetFormatPr defaultColWidth="9.140625" defaultRowHeight="12.75"/>
  <cols>
    <col min="1" max="1" width="16.00390625" style="0" bestFit="1" customWidth="1"/>
    <col min="2" max="2" width="13.140625" style="0" customWidth="1"/>
    <col min="3" max="3" width="16.28125" style="0" bestFit="1" customWidth="1"/>
    <col min="4" max="4" width="12.57421875" style="0" customWidth="1"/>
    <col min="5" max="5" width="20.140625" style="0" hidden="1" customWidth="1"/>
    <col min="6" max="6" width="12.7109375" style="0" bestFit="1" customWidth="1"/>
    <col min="7" max="7" width="17.8515625" style="0" bestFit="1" customWidth="1"/>
    <col min="8" max="8" width="15.57421875" style="0" bestFit="1" customWidth="1"/>
    <col min="9" max="9" width="17.8515625" style="0" bestFit="1" customWidth="1"/>
    <col min="10" max="10" width="16.00390625" style="0" bestFit="1" customWidth="1"/>
    <col min="12" max="12" width="9.7109375" style="0" bestFit="1" customWidth="1"/>
  </cols>
  <sheetData>
    <row r="1" ht="25.5">
      <c r="A1" s="201"/>
    </row>
    <row r="2" spans="1:10" ht="53.25" customHeight="1">
      <c r="A2" s="733" t="s">
        <v>585</v>
      </c>
      <c r="B2" s="734"/>
      <c r="C2" s="734"/>
      <c r="D2" s="734"/>
      <c r="E2" s="734"/>
      <c r="F2" s="734"/>
      <c r="G2" s="734"/>
      <c r="H2" s="734"/>
      <c r="I2" s="734"/>
      <c r="J2" s="734"/>
    </row>
    <row r="3" spans="1:10" ht="53.25" customHeight="1">
      <c r="A3" s="608"/>
      <c r="B3" s="609"/>
      <c r="C3" s="609"/>
      <c r="D3" s="609"/>
      <c r="E3" s="609"/>
      <c r="F3" s="609"/>
      <c r="G3" s="609"/>
      <c r="H3" s="609"/>
      <c r="I3" s="609"/>
      <c r="J3" s="609"/>
    </row>
    <row r="4" spans="2:10" ht="0.75" customHeight="1">
      <c r="B4" s="298" t="s">
        <v>0</v>
      </c>
      <c r="C4" s="298" t="s">
        <v>493</v>
      </c>
      <c r="D4" s="297" t="s">
        <v>494</v>
      </c>
      <c r="E4" s="298" t="s">
        <v>514</v>
      </c>
      <c r="F4" s="298" t="s">
        <v>515</v>
      </c>
      <c r="G4" s="297"/>
      <c r="I4" s="297"/>
      <c r="J4" s="298" t="s">
        <v>508</v>
      </c>
    </row>
    <row r="5" spans="1:10" ht="63.75" customHeight="1">
      <c r="A5" s="258" t="s">
        <v>344</v>
      </c>
      <c r="B5" s="493" t="s">
        <v>638</v>
      </c>
      <c r="C5" s="493" t="s">
        <v>553</v>
      </c>
      <c r="D5" s="258" t="s">
        <v>251</v>
      </c>
      <c r="E5" s="493" t="s">
        <v>518</v>
      </c>
      <c r="F5" s="493" t="s">
        <v>639</v>
      </c>
      <c r="G5" s="258" t="s">
        <v>506</v>
      </c>
      <c r="H5" s="493" t="s">
        <v>640</v>
      </c>
      <c r="I5" s="258" t="s">
        <v>507</v>
      </c>
      <c r="J5" s="302" t="s">
        <v>641</v>
      </c>
    </row>
    <row r="6" spans="1:10" ht="15" customHeight="1">
      <c r="A6" s="259"/>
      <c r="B6" s="291"/>
      <c r="C6" s="200"/>
      <c r="D6" s="200"/>
      <c r="E6" s="465"/>
      <c r="F6" s="439"/>
      <c r="G6" s="200"/>
      <c r="H6" s="200"/>
      <c r="I6" s="200"/>
      <c r="J6" s="200"/>
    </row>
    <row r="7" spans="1:14" ht="12.75">
      <c r="A7" s="464"/>
      <c r="B7" s="303" t="s">
        <v>122</v>
      </c>
      <c r="C7" s="303" t="s">
        <v>309</v>
      </c>
      <c r="D7" s="303" t="s">
        <v>123</v>
      </c>
      <c r="E7" s="303" t="s">
        <v>124</v>
      </c>
      <c r="F7" s="303" t="s">
        <v>575</v>
      </c>
      <c r="G7" s="303" t="s">
        <v>125</v>
      </c>
      <c r="H7" s="303" t="s">
        <v>126</v>
      </c>
      <c r="I7" s="303" t="s">
        <v>127</v>
      </c>
      <c r="J7" s="303" t="s">
        <v>128</v>
      </c>
      <c r="L7" s="735" t="s">
        <v>644</v>
      </c>
      <c r="M7" s="735"/>
      <c r="N7" s="735"/>
    </row>
    <row r="8" spans="1:14" ht="12.75">
      <c r="A8" s="23" t="s">
        <v>413</v>
      </c>
      <c r="B8" s="199"/>
      <c r="C8" s="199"/>
      <c r="D8" s="199"/>
      <c r="E8" s="199"/>
      <c r="F8" s="199"/>
      <c r="G8" s="199"/>
      <c r="H8" s="199"/>
      <c r="I8" s="199"/>
      <c r="J8" s="199"/>
      <c r="L8" s="149" t="s">
        <v>642</v>
      </c>
      <c r="M8" s="149" t="s">
        <v>643</v>
      </c>
      <c r="N8" s="149" t="s">
        <v>253</v>
      </c>
    </row>
    <row r="9" spans="1:14" ht="12.75">
      <c r="A9" s="146" t="s">
        <v>412</v>
      </c>
      <c r="B9" s="314">
        <v>833</v>
      </c>
      <c r="C9" s="202">
        <f>'Table 3 Levels 1&amp;2'!AT75</f>
        <v>3484.09</v>
      </c>
      <c r="D9" s="202">
        <f>B9*ROUND(C9,0)</f>
        <v>2902172</v>
      </c>
      <c r="E9" s="440">
        <v>0</v>
      </c>
      <c r="F9" s="440">
        <f>'[4]Table 5 Lab Schools_Revised'!$F$9</f>
        <v>-941</v>
      </c>
      <c r="G9" s="202">
        <f>D9+F9</f>
        <v>2901231</v>
      </c>
      <c r="H9" s="316">
        <f>'[5]03MFP'!$AA$76</f>
        <v>1880440</v>
      </c>
      <c r="I9" s="202">
        <f>+G9-H9</f>
        <v>1020791</v>
      </c>
      <c r="J9" s="202">
        <f>ROUND(I9/4,0)</f>
        <v>255198</v>
      </c>
      <c r="L9">
        <v>235055</v>
      </c>
      <c r="M9">
        <v>255214</v>
      </c>
      <c r="N9">
        <f>M9-L9</f>
        <v>20159</v>
      </c>
    </row>
    <row r="10" spans="1:10" ht="20.25" customHeight="1">
      <c r="A10" s="27" t="s">
        <v>411</v>
      </c>
      <c r="B10" s="198"/>
      <c r="C10" s="203"/>
      <c r="D10" s="203"/>
      <c r="E10" s="441"/>
      <c r="F10" s="441"/>
      <c r="G10" s="203"/>
      <c r="H10" s="203"/>
      <c r="I10" s="203"/>
      <c r="J10" s="203"/>
    </row>
    <row r="11" spans="1:14" ht="12.75">
      <c r="A11" s="164" t="s">
        <v>412</v>
      </c>
      <c r="B11" s="314">
        <v>444</v>
      </c>
      <c r="C11" s="202">
        <f>'Table 3 Levels 1&amp;2'!AT75</f>
        <v>3484.09</v>
      </c>
      <c r="D11" s="202">
        <f>B11*ROUND(C11,0)</f>
        <v>1546896</v>
      </c>
      <c r="E11" s="440">
        <v>0</v>
      </c>
      <c r="F11" s="440">
        <f>'[4]Table 5 Lab Schools_Revised'!$F$11</f>
        <v>-552</v>
      </c>
      <c r="G11" s="202">
        <f>D11+F11</f>
        <v>1546344</v>
      </c>
      <c r="H11" s="316">
        <f>'[5]03MFP'!$AA$77</f>
        <v>1103688</v>
      </c>
      <c r="I11" s="202">
        <f>+G11-H11</f>
        <v>442656</v>
      </c>
      <c r="J11" s="202">
        <f>ROUND(I11/4,0)</f>
        <v>110664</v>
      </c>
      <c r="L11">
        <v>137961</v>
      </c>
      <c r="M11">
        <v>110668</v>
      </c>
      <c r="N11">
        <f>M11-L11</f>
        <v>-27293</v>
      </c>
    </row>
    <row r="12" spans="1:14" s="12" customFormat="1" ht="25.5" customHeight="1" thickBot="1">
      <c r="A12" s="116" t="s">
        <v>252</v>
      </c>
      <c r="B12" s="312">
        <f>SUM(B9:B11)</f>
        <v>1277</v>
      </c>
      <c r="C12" s="131"/>
      <c r="D12" s="118">
        <f aca="true" t="shared" si="0" ref="D12:J12">SUM(D9:D11)</f>
        <v>4449068</v>
      </c>
      <c r="E12" s="118">
        <f t="shared" si="0"/>
        <v>0</v>
      </c>
      <c r="F12" s="118">
        <f t="shared" si="0"/>
        <v>-1493</v>
      </c>
      <c r="G12" s="118">
        <f t="shared" si="0"/>
        <v>4447575</v>
      </c>
      <c r="H12" s="386">
        <f t="shared" si="0"/>
        <v>2984128</v>
      </c>
      <c r="I12" s="118">
        <f t="shared" si="0"/>
        <v>1463447</v>
      </c>
      <c r="J12" s="118">
        <f t="shared" si="0"/>
        <v>365862</v>
      </c>
      <c r="L12" s="12">
        <v>373016</v>
      </c>
      <c r="M12" s="12">
        <v>365882</v>
      </c>
      <c r="N12">
        <f>M12-L12</f>
        <v>-7134</v>
      </c>
    </row>
    <row r="13" spans="1:10" s="12" customFormat="1" ht="15" customHeight="1" thickTop="1">
      <c r="A13" s="389"/>
      <c r="B13" s="390"/>
      <c r="C13" s="391"/>
      <c r="D13" s="392"/>
      <c r="E13" s="392"/>
      <c r="F13" s="392"/>
      <c r="G13" s="392"/>
      <c r="H13" s="442"/>
      <c r="I13" s="392"/>
      <c r="J13" s="392"/>
    </row>
    <row r="14" spans="1:11" s="12" customFormat="1" ht="15" customHeight="1">
      <c r="A14" s="669" t="s">
        <v>647</v>
      </c>
      <c r="B14" s="664"/>
      <c r="C14" s="2"/>
      <c r="D14" s="665"/>
      <c r="E14" s="666" t="s">
        <v>513</v>
      </c>
      <c r="F14" s="2"/>
      <c r="G14" s="665"/>
      <c r="H14" s="667"/>
      <c r="I14" s="665"/>
      <c r="J14" s="665"/>
      <c r="K14" s="2"/>
    </row>
    <row r="15" spans="1:11" ht="12.75">
      <c r="A15" s="663" t="s">
        <v>646</v>
      </c>
      <c r="B15" s="306"/>
      <c r="C15" s="2"/>
      <c r="D15" s="306"/>
      <c r="E15" s="306"/>
      <c r="F15" s="306"/>
      <c r="G15" s="306"/>
      <c r="H15" s="306"/>
      <c r="I15" s="306"/>
      <c r="J15" s="306"/>
      <c r="K15" s="2"/>
    </row>
    <row r="16" spans="1:11" ht="12.75">
      <c r="A16" s="668" t="s">
        <v>654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27" spans="3:6" ht="12.75">
      <c r="C27" s="391" t="s">
        <v>536</v>
      </c>
      <c r="F27" s="392">
        <f>+F12+E12</f>
        <v>-1493</v>
      </c>
    </row>
  </sheetData>
  <mergeCells count="2">
    <mergeCell ref="A2:J2"/>
    <mergeCell ref="L7:N7"/>
  </mergeCells>
  <printOptions horizontalCentered="1"/>
  <pageMargins left="0.5" right="0.25" top="0.75" bottom="0.5" header="0.25" footer="0.25"/>
  <pageSetup horizontalDpi="600" verticalDpi="600" orientation="landscape" paperSize="5" r:id="rId2"/>
  <headerFooter alignWithMargins="0">
    <oddHeader>&amp;R
</oddHeader>
    <oddFooter>&amp;L&amp;9&amp;F, &amp;A, Prepared by Division of Education Finance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6"/>
  <sheetViews>
    <sheetView zoomScale="85" zoomScaleNormal="85" workbookViewId="0" topLeftCell="A1">
      <selection activeCell="T1" sqref="T1:BU16384"/>
    </sheetView>
  </sheetViews>
  <sheetFormatPr defaultColWidth="9.140625" defaultRowHeight="12.75"/>
  <cols>
    <col min="1" max="1" width="5.00390625" style="0" customWidth="1"/>
    <col min="2" max="2" width="21.28125" style="0" customWidth="1"/>
    <col min="3" max="3" width="14.57421875" style="0" customWidth="1"/>
    <col min="4" max="4" width="17.00390625" style="0" customWidth="1"/>
    <col min="5" max="5" width="9.421875" style="0" customWidth="1"/>
    <col min="6" max="6" width="16.28125" style="0" customWidth="1"/>
    <col min="7" max="7" width="9.421875" style="0" customWidth="1"/>
    <col min="8" max="8" width="18.7109375" style="0" customWidth="1"/>
    <col min="9" max="9" width="8.00390625" style="0" customWidth="1"/>
    <col min="10" max="10" width="16.8515625" style="0" customWidth="1"/>
    <col min="11" max="11" width="9.00390625" style="0" customWidth="1"/>
    <col min="12" max="12" width="13.28125" style="0" customWidth="1"/>
    <col min="13" max="13" width="8.140625" style="0" bestFit="1" customWidth="1"/>
    <col min="14" max="14" width="17.7109375" style="0" bestFit="1" customWidth="1"/>
    <col min="15" max="15" width="9.28125" style="0" customWidth="1"/>
    <col min="16" max="16" width="13.28125" style="0" customWidth="1"/>
    <col min="17" max="17" width="9.28125" style="0" customWidth="1"/>
    <col min="18" max="18" width="13.7109375" style="0" customWidth="1"/>
  </cols>
  <sheetData>
    <row r="1" spans="2:17" ht="46.5" customHeight="1">
      <c r="B1" s="96"/>
      <c r="C1" s="739" t="s">
        <v>645</v>
      </c>
      <c r="D1" s="740"/>
      <c r="E1" s="740"/>
      <c r="F1" s="740"/>
      <c r="G1" s="740"/>
      <c r="H1" s="740"/>
      <c r="J1" s="132" t="s">
        <v>300</v>
      </c>
      <c r="K1" s="102"/>
      <c r="L1" s="102"/>
      <c r="M1" s="102"/>
      <c r="N1" s="132"/>
      <c r="O1" s="132"/>
      <c r="P1" s="741"/>
      <c r="Q1" s="741"/>
    </row>
    <row r="2" spans="1:17" ht="16.5" customHeight="1">
      <c r="A2" s="157"/>
      <c r="B2" s="15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741"/>
      <c r="Q2" s="741"/>
    </row>
    <row r="3" spans="1:17" ht="39.75" customHeight="1" hidden="1">
      <c r="A3" s="157"/>
      <c r="C3" s="456" t="s">
        <v>554</v>
      </c>
      <c r="D3" s="456" t="s">
        <v>455</v>
      </c>
      <c r="E3" s="456" t="s">
        <v>301</v>
      </c>
      <c r="F3" s="456" t="s">
        <v>456</v>
      </c>
      <c r="G3" s="456" t="s">
        <v>302</v>
      </c>
      <c r="H3" s="456" t="s">
        <v>586</v>
      </c>
      <c r="I3" s="456" t="s">
        <v>457</v>
      </c>
      <c r="J3" s="456" t="s">
        <v>458</v>
      </c>
      <c r="K3" s="456" t="s">
        <v>459</v>
      </c>
      <c r="L3" s="456" t="s">
        <v>460</v>
      </c>
      <c r="M3" s="296"/>
      <c r="N3" s="456" t="s">
        <v>461</v>
      </c>
      <c r="O3" s="456" t="s">
        <v>462</v>
      </c>
      <c r="P3" s="456" t="s">
        <v>463</v>
      </c>
      <c r="Q3" s="456" t="s">
        <v>214</v>
      </c>
    </row>
    <row r="4" spans="1:17" ht="45" customHeight="1">
      <c r="A4" s="276"/>
      <c r="B4" s="276"/>
      <c r="C4" s="285"/>
      <c r="D4" s="742" t="s">
        <v>588</v>
      </c>
      <c r="E4" s="743"/>
      <c r="F4" s="743"/>
      <c r="G4" s="744"/>
      <c r="H4" s="745" t="s">
        <v>441</v>
      </c>
      <c r="I4" s="287"/>
      <c r="J4" s="736" t="s">
        <v>442</v>
      </c>
      <c r="K4" s="737"/>
      <c r="L4" s="737"/>
      <c r="M4" s="738"/>
      <c r="N4" s="747" t="s">
        <v>587</v>
      </c>
      <c r="O4" s="736" t="s">
        <v>443</v>
      </c>
      <c r="P4" s="737"/>
      <c r="Q4" s="738"/>
    </row>
    <row r="5" spans="1:17" ht="51">
      <c r="A5" s="281" t="s">
        <v>272</v>
      </c>
      <c r="B5" s="281" t="s">
        <v>103</v>
      </c>
      <c r="C5" s="443" t="s">
        <v>537</v>
      </c>
      <c r="D5" s="269" t="s">
        <v>99</v>
      </c>
      <c r="E5" s="269" t="s">
        <v>79</v>
      </c>
      <c r="F5" s="269" t="s">
        <v>100</v>
      </c>
      <c r="G5" s="269" t="s">
        <v>79</v>
      </c>
      <c r="H5" s="746"/>
      <c r="I5" s="286" t="s">
        <v>79</v>
      </c>
      <c r="J5" s="269" t="s">
        <v>101</v>
      </c>
      <c r="K5" s="269" t="s">
        <v>79</v>
      </c>
      <c r="L5" s="270" t="s">
        <v>212</v>
      </c>
      <c r="M5" s="269" t="s">
        <v>213</v>
      </c>
      <c r="N5" s="748"/>
      <c r="O5" s="288" t="s">
        <v>79</v>
      </c>
      <c r="P5" s="137" t="s">
        <v>102</v>
      </c>
      <c r="Q5" s="271" t="s">
        <v>80</v>
      </c>
    </row>
    <row r="6" spans="1:17" ht="12.75">
      <c r="A6" s="236"/>
      <c r="B6" s="236"/>
      <c r="C6" s="142" t="s">
        <v>122</v>
      </c>
      <c r="D6" s="142" t="s">
        <v>309</v>
      </c>
      <c r="E6" s="272">
        <v>-3</v>
      </c>
      <c r="F6" s="142" t="s">
        <v>124</v>
      </c>
      <c r="G6" s="272">
        <v>-5</v>
      </c>
      <c r="H6" s="142" t="s">
        <v>126</v>
      </c>
      <c r="I6" s="272">
        <v>-7</v>
      </c>
      <c r="J6" s="142" t="s">
        <v>128</v>
      </c>
      <c r="K6" s="142" t="s">
        <v>129</v>
      </c>
      <c r="L6" s="142" t="s">
        <v>130</v>
      </c>
      <c r="M6" s="272">
        <v>-11</v>
      </c>
      <c r="N6" s="142" t="s">
        <v>132</v>
      </c>
      <c r="O6" s="142" t="s">
        <v>205</v>
      </c>
      <c r="P6" s="142" t="s">
        <v>283</v>
      </c>
      <c r="Q6" s="142" t="s">
        <v>284</v>
      </c>
    </row>
    <row r="7" spans="1:17" ht="12.75">
      <c r="A7" s="20"/>
      <c r="B7" s="21"/>
      <c r="C7" s="571"/>
      <c r="D7" s="25"/>
      <c r="E7" s="25"/>
      <c r="F7" s="25"/>
      <c r="G7" s="25"/>
      <c r="H7" s="25"/>
      <c r="I7" s="25"/>
      <c r="J7" s="25"/>
      <c r="K7" s="25"/>
      <c r="L7" s="27"/>
      <c r="M7" s="25"/>
      <c r="N7" s="25"/>
      <c r="O7" s="25"/>
      <c r="P7" s="25"/>
      <c r="Q7" s="25"/>
    </row>
    <row r="8" spans="1:17" ht="12.75">
      <c r="A8" s="28">
        <v>1</v>
      </c>
      <c r="B8" s="29" t="s">
        <v>2</v>
      </c>
      <c r="C8" s="571">
        <f>+'Table 3 Levels 1&amp;2'!U8</f>
        <v>13479</v>
      </c>
      <c r="D8" s="30">
        <f>ROUND('Table 7 Local Revenue'!$AB$74*'Table 7 Local Revenue'!F7/1000,0)</f>
        <v>6060320</v>
      </c>
      <c r="E8" s="30">
        <f>ROUND(D8/C8,2)</f>
        <v>449.61</v>
      </c>
      <c r="F8" s="30">
        <f>ROUND('Table 7 Local Revenue'!$AD$74*'Table 7 Local Revenue'!AH7,0)</f>
        <v>13389322</v>
      </c>
      <c r="G8" s="30">
        <f>ROUND(F8/C8,2)</f>
        <v>993.35</v>
      </c>
      <c r="H8" s="30">
        <f>'Table 7 Local Revenue'!AK7</f>
        <v>374433.5</v>
      </c>
      <c r="I8" s="30">
        <f>ROUND(H8/C8,2)</f>
        <v>27.78</v>
      </c>
      <c r="J8" s="30">
        <f>H8+F8+D8</f>
        <v>19824075.5</v>
      </c>
      <c r="K8" s="30">
        <f>ROUND(J8/C8,2)</f>
        <v>1470.74</v>
      </c>
      <c r="L8" s="39">
        <f aca="true" t="shared" si="0" ref="L8:L39">ROUND(K8/K$75,8)</f>
        <v>0.75642898</v>
      </c>
      <c r="M8" s="29">
        <f aca="true" t="shared" si="1" ref="M8:M39">RANK(L8,L$8:L$73,0)</f>
        <v>32</v>
      </c>
      <c r="N8" s="30">
        <f>+'Table 7 Local Revenue'!AL7</f>
        <v>12526500.5</v>
      </c>
      <c r="O8" s="30">
        <f aca="true" t="shared" si="2" ref="O8:O39">ROUND(N8/C8,2)</f>
        <v>929.33</v>
      </c>
      <c r="P8" s="32">
        <f aca="true" t="shared" si="3" ref="P8:P39">ROUND(O8/K8,6)</f>
        <v>0.631879</v>
      </c>
      <c r="Q8" s="29">
        <f aca="true" t="shared" si="4" ref="Q8:Q39">RANK(P8,P$8:P$73,0)</f>
        <v>63</v>
      </c>
    </row>
    <row r="9" spans="1:17" ht="12.75">
      <c r="A9" s="28">
        <v>2</v>
      </c>
      <c r="B9" s="29" t="s">
        <v>3</v>
      </c>
      <c r="C9" s="571">
        <f>+'Table 3 Levels 1&amp;2'!U9</f>
        <v>5890</v>
      </c>
      <c r="D9" s="30">
        <f>ROUND('Table 7 Local Revenue'!$AB$74*'Table 7 Local Revenue'!F8/1000,0)</f>
        <v>2536606</v>
      </c>
      <c r="E9" s="30">
        <f aca="true" t="shared" si="5" ref="E9:E72">ROUND(D9/C9,2)</f>
        <v>430.66</v>
      </c>
      <c r="F9" s="30">
        <f>ROUND('Table 7 Local Revenue'!$AD$74*'Table 7 Local Revenue'!AH8,0)</f>
        <v>3498645</v>
      </c>
      <c r="G9" s="30">
        <f aca="true" t="shared" si="6" ref="G9:G72">ROUND(F9/C9,2)</f>
        <v>594</v>
      </c>
      <c r="H9" s="30">
        <f>'Table 7 Local Revenue'!AK8</f>
        <v>102209</v>
      </c>
      <c r="I9" s="30">
        <f aca="true" t="shared" si="7" ref="I9:I72">ROUND(H9/C9,2)</f>
        <v>17.35</v>
      </c>
      <c r="J9" s="30">
        <f aca="true" t="shared" si="8" ref="J9:J72">H9+F9+D9</f>
        <v>6137460</v>
      </c>
      <c r="K9" s="30">
        <f aca="true" t="shared" si="9" ref="K9:K72">ROUND(J9/C9,2)</f>
        <v>1042.01</v>
      </c>
      <c r="L9" s="39">
        <f t="shared" si="0"/>
        <v>0.53592516</v>
      </c>
      <c r="M9" s="29">
        <f t="shared" si="1"/>
        <v>53</v>
      </c>
      <c r="N9" s="30">
        <f>+'Table 7 Local Revenue'!AL8</f>
        <v>6846489</v>
      </c>
      <c r="O9" s="30">
        <f t="shared" si="2"/>
        <v>1162.39</v>
      </c>
      <c r="P9" s="32">
        <f t="shared" si="3"/>
        <v>1.115527</v>
      </c>
      <c r="Q9" s="29">
        <f t="shared" si="4"/>
        <v>17</v>
      </c>
    </row>
    <row r="10" spans="1:17" ht="12.75">
      <c r="A10" s="28">
        <v>3</v>
      </c>
      <c r="B10" s="29" t="s">
        <v>4</v>
      </c>
      <c r="C10" s="571">
        <f>+'Table 3 Levels 1&amp;2'!U10</f>
        <v>20312</v>
      </c>
      <c r="D10" s="30">
        <f>ROUND('Table 7 Local Revenue'!$AB$74*'Table 7 Local Revenue'!F9/1000,0)</f>
        <v>17924667</v>
      </c>
      <c r="E10" s="30">
        <f t="shared" si="5"/>
        <v>882.47</v>
      </c>
      <c r="F10" s="30">
        <f>ROUND('Table 7 Local Revenue'!$AD$74*'Table 7 Local Revenue'!AH9,0)</f>
        <v>29615085</v>
      </c>
      <c r="G10" s="30">
        <f t="shared" si="6"/>
        <v>1458.01</v>
      </c>
      <c r="H10" s="30">
        <f>'Table 7 Local Revenue'!AK9</f>
        <v>158097.5</v>
      </c>
      <c r="I10" s="30">
        <f t="shared" si="7"/>
        <v>7.78</v>
      </c>
      <c r="J10" s="30">
        <f t="shared" si="8"/>
        <v>47697849.5</v>
      </c>
      <c r="K10" s="30">
        <f t="shared" si="9"/>
        <v>2348.26</v>
      </c>
      <c r="L10" s="39">
        <f t="shared" si="0"/>
        <v>1.20775387</v>
      </c>
      <c r="M10" s="29">
        <f t="shared" si="1"/>
        <v>13</v>
      </c>
      <c r="N10" s="30">
        <f>+'Table 7 Local Revenue'!AL9</f>
        <v>53771072.5</v>
      </c>
      <c r="O10" s="30">
        <f t="shared" si="2"/>
        <v>2647.26</v>
      </c>
      <c r="P10" s="32">
        <f t="shared" si="3"/>
        <v>1.127328</v>
      </c>
      <c r="Q10" s="29">
        <f t="shared" si="4"/>
        <v>15</v>
      </c>
    </row>
    <row r="11" spans="1:17" ht="12.75">
      <c r="A11" s="28">
        <v>4</v>
      </c>
      <c r="B11" s="29" t="s">
        <v>5</v>
      </c>
      <c r="C11" s="571">
        <f>+'Table 3 Levels 1&amp;2'!U11</f>
        <v>6187</v>
      </c>
      <c r="D11" s="30">
        <f>ROUND('Table 7 Local Revenue'!$AB$74*'Table 7 Local Revenue'!F10/1000,0)</f>
        <v>2839814</v>
      </c>
      <c r="E11" s="30">
        <f t="shared" si="5"/>
        <v>459</v>
      </c>
      <c r="F11" s="30">
        <f>ROUND('Table 7 Local Revenue'!$AD$74*'Table 7 Local Revenue'!AH10,0)</f>
        <v>3941125</v>
      </c>
      <c r="G11" s="30">
        <f t="shared" si="6"/>
        <v>637</v>
      </c>
      <c r="H11" s="30">
        <f>'Table 7 Local Revenue'!AK10</f>
        <v>185588</v>
      </c>
      <c r="I11" s="30">
        <f t="shared" si="7"/>
        <v>30</v>
      </c>
      <c r="J11" s="30">
        <f t="shared" si="8"/>
        <v>6966527</v>
      </c>
      <c r="K11" s="30">
        <f t="shared" si="9"/>
        <v>1125.99</v>
      </c>
      <c r="L11" s="39">
        <f t="shared" si="0"/>
        <v>0.57911763</v>
      </c>
      <c r="M11" s="29">
        <f t="shared" si="1"/>
        <v>49</v>
      </c>
      <c r="N11" s="30">
        <f>+'Table 7 Local Revenue'!AL10</f>
        <v>8307925</v>
      </c>
      <c r="O11" s="30">
        <f t="shared" si="2"/>
        <v>1342.8</v>
      </c>
      <c r="P11" s="32">
        <f t="shared" si="3"/>
        <v>1.192551</v>
      </c>
      <c r="Q11" s="29">
        <f t="shared" si="4"/>
        <v>10</v>
      </c>
    </row>
    <row r="12" spans="1:17" ht="12.75">
      <c r="A12" s="42">
        <v>5</v>
      </c>
      <c r="B12" s="43" t="s">
        <v>6</v>
      </c>
      <c r="C12" s="572">
        <f>+'Table 3 Levels 1&amp;2'!U12</f>
        <v>8818</v>
      </c>
      <c r="D12" s="44">
        <f>ROUND('Table 7 Local Revenue'!$AB$74*'Table 7 Local Revenue'!F11/1000,0)</f>
        <v>2746248</v>
      </c>
      <c r="E12" s="44">
        <f t="shared" si="5"/>
        <v>311.44</v>
      </c>
      <c r="F12" s="44">
        <f>ROUND('Table 7 Local Revenue'!$AD$74*'Table 7 Local Revenue'!AH11,0)</f>
        <v>5488740</v>
      </c>
      <c r="G12" s="44">
        <f t="shared" si="6"/>
        <v>622.45</v>
      </c>
      <c r="H12" s="44">
        <f>'Table 7 Local Revenue'!AK11</f>
        <v>279532.5</v>
      </c>
      <c r="I12" s="44">
        <f t="shared" si="7"/>
        <v>31.7</v>
      </c>
      <c r="J12" s="44">
        <f t="shared" si="8"/>
        <v>8514520.5</v>
      </c>
      <c r="K12" s="44">
        <f t="shared" si="9"/>
        <v>965.58</v>
      </c>
      <c r="L12" s="50">
        <f t="shared" si="0"/>
        <v>0.49661578</v>
      </c>
      <c r="M12" s="43">
        <f t="shared" si="1"/>
        <v>58</v>
      </c>
      <c r="N12" s="44">
        <f>+'Table 7 Local Revenue'!AL11</f>
        <v>6109205.5</v>
      </c>
      <c r="O12" s="44">
        <f t="shared" si="2"/>
        <v>692.81</v>
      </c>
      <c r="P12" s="45">
        <f t="shared" si="3"/>
        <v>0.717507</v>
      </c>
      <c r="Q12" s="43">
        <f t="shared" si="4"/>
        <v>59</v>
      </c>
    </row>
    <row r="13" spans="1:17" ht="12.75">
      <c r="A13" s="28">
        <v>6</v>
      </c>
      <c r="B13" s="29" t="s">
        <v>7</v>
      </c>
      <c r="C13" s="571">
        <f>+'Table 3 Levels 1&amp;2'!U13</f>
        <v>8084</v>
      </c>
      <c r="D13" s="30">
        <f>ROUND('Table 7 Local Revenue'!$AB$74*'Table 7 Local Revenue'!F12/1000,0)</f>
        <v>5121300</v>
      </c>
      <c r="E13" s="30">
        <f t="shared" si="5"/>
        <v>633.51</v>
      </c>
      <c r="F13" s="30">
        <f>ROUND('Table 7 Local Revenue'!$AD$74*'Table 7 Local Revenue'!AH12,0)</f>
        <v>6195054</v>
      </c>
      <c r="G13" s="30">
        <f t="shared" si="6"/>
        <v>766.34</v>
      </c>
      <c r="H13" s="30">
        <f>'Table 7 Local Revenue'!AK12</f>
        <v>292858</v>
      </c>
      <c r="I13" s="30">
        <f t="shared" si="7"/>
        <v>36.23</v>
      </c>
      <c r="J13" s="30">
        <f t="shared" si="8"/>
        <v>11609212</v>
      </c>
      <c r="K13" s="30">
        <f t="shared" si="9"/>
        <v>1436.07</v>
      </c>
      <c r="L13" s="39">
        <f t="shared" si="0"/>
        <v>0.73859756</v>
      </c>
      <c r="M13" s="29">
        <f t="shared" si="1"/>
        <v>34</v>
      </c>
      <c r="N13" s="30">
        <f>+'Table 7 Local Revenue'!AL12</f>
        <v>12657405</v>
      </c>
      <c r="O13" s="30">
        <f t="shared" si="2"/>
        <v>1565.74</v>
      </c>
      <c r="P13" s="32">
        <f t="shared" si="3"/>
        <v>1.090295</v>
      </c>
      <c r="Q13" s="29">
        <f t="shared" si="4"/>
        <v>19</v>
      </c>
    </row>
    <row r="14" spans="1:17" ht="12.75">
      <c r="A14" s="28">
        <v>7</v>
      </c>
      <c r="B14" s="29" t="s">
        <v>8</v>
      </c>
      <c r="C14" s="571">
        <f>+'Table 3 Levels 1&amp;2'!U14</f>
        <v>3676</v>
      </c>
      <c r="D14" s="30">
        <f>ROUND('Table 7 Local Revenue'!$AB$74*'Table 7 Local Revenue'!F13/1000,0)</f>
        <v>4706348</v>
      </c>
      <c r="E14" s="30">
        <f t="shared" si="5"/>
        <v>1280.29</v>
      </c>
      <c r="F14" s="30">
        <f>ROUND('Table 7 Local Revenue'!$AD$74*'Table 7 Local Revenue'!AH13,0)</f>
        <v>2772262</v>
      </c>
      <c r="G14" s="30">
        <f t="shared" si="6"/>
        <v>754.15</v>
      </c>
      <c r="H14" s="30">
        <f>'Table 7 Local Revenue'!AK13</f>
        <v>153583.5</v>
      </c>
      <c r="I14" s="30">
        <f t="shared" si="7"/>
        <v>41.78</v>
      </c>
      <c r="J14" s="30">
        <f t="shared" si="8"/>
        <v>7632193.5</v>
      </c>
      <c r="K14" s="30">
        <f t="shared" si="9"/>
        <v>2076.22</v>
      </c>
      <c r="L14" s="39">
        <f t="shared" si="0"/>
        <v>1.06783863</v>
      </c>
      <c r="M14" s="29">
        <f t="shared" si="1"/>
        <v>16</v>
      </c>
      <c r="N14" s="30">
        <f>+'Table 7 Local Revenue'!AL13</f>
        <v>7551337.5</v>
      </c>
      <c r="O14" s="30">
        <f t="shared" si="2"/>
        <v>2054.23</v>
      </c>
      <c r="P14" s="32">
        <f t="shared" si="3"/>
        <v>0.989409</v>
      </c>
      <c r="Q14" s="29">
        <f t="shared" si="4"/>
        <v>33</v>
      </c>
    </row>
    <row r="15" spans="1:17" ht="12.75">
      <c r="A15" s="28">
        <v>8</v>
      </c>
      <c r="B15" s="29" t="s">
        <v>9</v>
      </c>
      <c r="C15" s="571">
        <f>+'Table 3 Levels 1&amp;2'!U15</f>
        <v>23795</v>
      </c>
      <c r="D15" s="30">
        <f>ROUND('Table 7 Local Revenue'!$AB$74*'Table 7 Local Revenue'!F14/1000,0)</f>
        <v>15062774</v>
      </c>
      <c r="E15" s="30">
        <f t="shared" si="5"/>
        <v>633.02</v>
      </c>
      <c r="F15" s="30">
        <f>ROUND('Table 7 Local Revenue'!$AD$74*'Table 7 Local Revenue'!AH14,0)</f>
        <v>27988714</v>
      </c>
      <c r="G15" s="30">
        <f t="shared" si="6"/>
        <v>1176.24</v>
      </c>
      <c r="H15" s="30">
        <f>'Table 7 Local Revenue'!AK14</f>
        <v>565928.5</v>
      </c>
      <c r="I15" s="30">
        <f t="shared" si="7"/>
        <v>23.78</v>
      </c>
      <c r="J15" s="30">
        <f t="shared" si="8"/>
        <v>43617416.5</v>
      </c>
      <c r="K15" s="30">
        <f t="shared" si="9"/>
        <v>1833.05</v>
      </c>
      <c r="L15" s="39">
        <f t="shared" si="0"/>
        <v>0.94277177</v>
      </c>
      <c r="M15" s="29">
        <f t="shared" si="1"/>
        <v>20</v>
      </c>
      <c r="N15" s="30">
        <f>+'Table 7 Local Revenue'!AL14</f>
        <v>41902539.5</v>
      </c>
      <c r="O15" s="30">
        <f t="shared" si="2"/>
        <v>1760.98</v>
      </c>
      <c r="P15" s="32">
        <f t="shared" si="3"/>
        <v>0.960683</v>
      </c>
      <c r="Q15" s="29">
        <f t="shared" si="4"/>
        <v>41</v>
      </c>
    </row>
    <row r="16" spans="1:17" ht="12.75">
      <c r="A16" s="28">
        <v>9</v>
      </c>
      <c r="B16" s="29" t="s">
        <v>10</v>
      </c>
      <c r="C16" s="571">
        <f>+'Table 3 Levels 1&amp;2'!U16</f>
        <v>58491</v>
      </c>
      <c r="D16" s="30">
        <f>ROUND('Table 7 Local Revenue'!$AB$74*'Table 7 Local Revenue'!F15/1000,0)</f>
        <v>34860150</v>
      </c>
      <c r="E16" s="30">
        <f t="shared" si="5"/>
        <v>595.99</v>
      </c>
      <c r="F16" s="30">
        <f>ROUND('Table 7 Local Revenue'!$AD$74*'Table 7 Local Revenue'!AH15,0)</f>
        <v>64575897</v>
      </c>
      <c r="G16" s="30">
        <f t="shared" si="6"/>
        <v>1104.03</v>
      </c>
      <c r="H16" s="30">
        <f>'Table 7 Local Revenue'!AK15</f>
        <v>2342427</v>
      </c>
      <c r="I16" s="30">
        <f t="shared" si="7"/>
        <v>40.05</v>
      </c>
      <c r="J16" s="30">
        <f t="shared" si="8"/>
        <v>101778474</v>
      </c>
      <c r="K16" s="30">
        <f t="shared" si="9"/>
        <v>1740.07</v>
      </c>
      <c r="L16" s="39">
        <f t="shared" si="0"/>
        <v>0.89495042</v>
      </c>
      <c r="M16" s="29">
        <f t="shared" si="1"/>
        <v>22</v>
      </c>
      <c r="N16" s="30">
        <f>+'Table 7 Local Revenue'!AL15</f>
        <v>123026667</v>
      </c>
      <c r="O16" s="30">
        <f t="shared" si="2"/>
        <v>2103.34</v>
      </c>
      <c r="P16" s="32">
        <f t="shared" si="3"/>
        <v>1.208767</v>
      </c>
      <c r="Q16" s="29">
        <f t="shared" si="4"/>
        <v>9</v>
      </c>
    </row>
    <row r="17" spans="1:17" ht="12.75">
      <c r="A17" s="42">
        <v>10</v>
      </c>
      <c r="B17" s="43" t="s">
        <v>11</v>
      </c>
      <c r="C17" s="572">
        <f>+'Table 3 Levels 1&amp;2'!U17</f>
        <v>41997</v>
      </c>
      <c r="D17" s="44">
        <f>ROUND('Table 7 Local Revenue'!$AB$74*'Table 7 Local Revenue'!F16/1000,0)</f>
        <v>33898216</v>
      </c>
      <c r="E17" s="44">
        <f t="shared" si="5"/>
        <v>807.16</v>
      </c>
      <c r="F17" s="44">
        <f>ROUND('Table 7 Local Revenue'!$AD$74*'Table 7 Local Revenue'!AH16,0)</f>
        <v>60763390</v>
      </c>
      <c r="G17" s="44">
        <f t="shared" si="6"/>
        <v>1446.85</v>
      </c>
      <c r="H17" s="44">
        <f>'Table 7 Local Revenue'!AK16</f>
        <v>1012782</v>
      </c>
      <c r="I17" s="44">
        <f t="shared" si="7"/>
        <v>24.12</v>
      </c>
      <c r="J17" s="44">
        <f t="shared" si="8"/>
        <v>95674388</v>
      </c>
      <c r="K17" s="44">
        <f t="shared" si="9"/>
        <v>2278.12</v>
      </c>
      <c r="L17" s="50">
        <f t="shared" si="0"/>
        <v>1.17167956</v>
      </c>
      <c r="M17" s="43">
        <f t="shared" si="1"/>
        <v>14</v>
      </c>
      <c r="N17" s="44">
        <f>+'Table 7 Local Revenue'!AL16</f>
        <v>96257950</v>
      </c>
      <c r="O17" s="44">
        <f t="shared" si="2"/>
        <v>2292.02</v>
      </c>
      <c r="P17" s="45">
        <f t="shared" si="3"/>
        <v>1.006102</v>
      </c>
      <c r="Q17" s="43">
        <f t="shared" si="4"/>
        <v>31</v>
      </c>
    </row>
    <row r="18" spans="1:17" ht="12" customHeight="1">
      <c r="A18" s="28">
        <v>11</v>
      </c>
      <c r="B18" s="29" t="s">
        <v>12</v>
      </c>
      <c r="C18" s="571">
        <f>+'Table 3 Levels 1&amp;2'!U18</f>
        <v>2674</v>
      </c>
      <c r="D18" s="30">
        <f>ROUND('Table 7 Local Revenue'!$AB$74*'Table 7 Local Revenue'!F17/1000,0)</f>
        <v>1000638</v>
      </c>
      <c r="E18" s="30">
        <f t="shared" si="5"/>
        <v>374.21</v>
      </c>
      <c r="F18" s="30">
        <f>ROUND('Table 7 Local Revenue'!$AD$74*'Table 7 Local Revenue'!AH17,0)</f>
        <v>1397875</v>
      </c>
      <c r="G18" s="30">
        <f t="shared" si="6"/>
        <v>522.77</v>
      </c>
      <c r="H18" s="30">
        <f>'Table 7 Local Revenue'!AK17</f>
        <v>129066</v>
      </c>
      <c r="I18" s="30">
        <f t="shared" si="7"/>
        <v>48.27</v>
      </c>
      <c r="J18" s="30">
        <f t="shared" si="8"/>
        <v>2527579</v>
      </c>
      <c r="K18" s="30">
        <f t="shared" si="9"/>
        <v>945.24</v>
      </c>
      <c r="L18" s="39">
        <f t="shared" si="0"/>
        <v>0.48615454</v>
      </c>
      <c r="M18" s="29">
        <f t="shared" si="1"/>
        <v>61</v>
      </c>
      <c r="N18" s="30">
        <f>+'Table 7 Local Revenue'!AL17</f>
        <v>2514714</v>
      </c>
      <c r="O18" s="30">
        <f t="shared" si="2"/>
        <v>940.43</v>
      </c>
      <c r="P18" s="32">
        <f t="shared" si="3"/>
        <v>0.994911</v>
      </c>
      <c r="Q18" s="29">
        <f t="shared" si="4"/>
        <v>32</v>
      </c>
    </row>
    <row r="19" spans="1:17" ht="12.75">
      <c r="A19" s="28">
        <v>12</v>
      </c>
      <c r="B19" s="29" t="s">
        <v>13</v>
      </c>
      <c r="C19" s="571">
        <f>+'Table 3 Levels 1&amp;2'!U19</f>
        <v>2803</v>
      </c>
      <c r="D19" s="30">
        <f>ROUND('Table 7 Local Revenue'!$AB$74*'Table 7 Local Revenue'!F18/1000,0)</f>
        <v>5957506</v>
      </c>
      <c r="E19" s="30">
        <f t="shared" si="5"/>
        <v>2125.4</v>
      </c>
      <c r="F19" s="30">
        <f>ROUND('Table 7 Local Revenue'!$AD$74*'Table 7 Local Revenue'!AH18,0)</f>
        <v>164419</v>
      </c>
      <c r="G19" s="30">
        <f t="shared" si="6"/>
        <v>58.66</v>
      </c>
      <c r="H19" s="30">
        <f>'Table 7 Local Revenue'!AK18</f>
        <v>626578</v>
      </c>
      <c r="I19" s="30">
        <f t="shared" si="7"/>
        <v>223.54</v>
      </c>
      <c r="J19" s="30">
        <f t="shared" si="8"/>
        <v>6748503</v>
      </c>
      <c r="K19" s="30">
        <f t="shared" si="9"/>
        <v>2407.6</v>
      </c>
      <c r="L19" s="39">
        <f t="shared" si="0"/>
        <v>1.23827354</v>
      </c>
      <c r="M19" s="29">
        <f t="shared" si="1"/>
        <v>12</v>
      </c>
      <c r="N19" s="30">
        <f>+'Table 7 Local Revenue'!AL18</f>
        <v>8623334</v>
      </c>
      <c r="O19" s="30">
        <f t="shared" si="2"/>
        <v>3076.47</v>
      </c>
      <c r="P19" s="32">
        <f t="shared" si="3"/>
        <v>1.277816</v>
      </c>
      <c r="Q19" s="29">
        <f t="shared" si="4"/>
        <v>6</v>
      </c>
    </row>
    <row r="20" spans="1:17" ht="12.75">
      <c r="A20" s="28">
        <v>13</v>
      </c>
      <c r="B20" s="29" t="s">
        <v>14</v>
      </c>
      <c r="C20" s="571">
        <f>+'Table 3 Levels 1&amp;2'!U20</f>
        <v>2594</v>
      </c>
      <c r="D20" s="30">
        <f>ROUND('Table 7 Local Revenue'!$AB$74*'Table 7 Local Revenue'!F19/1000,0)</f>
        <v>1081078</v>
      </c>
      <c r="E20" s="30">
        <f t="shared" si="5"/>
        <v>416.76</v>
      </c>
      <c r="F20" s="30">
        <f>ROUND('Table 7 Local Revenue'!$AD$74*'Table 7 Local Revenue'!AH19,0)</f>
        <v>1331612</v>
      </c>
      <c r="G20" s="30">
        <f t="shared" si="6"/>
        <v>513.34</v>
      </c>
      <c r="H20" s="30">
        <f>'Table 7 Local Revenue'!AK19</f>
        <v>100345.5</v>
      </c>
      <c r="I20" s="30">
        <f t="shared" si="7"/>
        <v>38.68</v>
      </c>
      <c r="J20" s="30">
        <f t="shared" si="8"/>
        <v>2513035.5</v>
      </c>
      <c r="K20" s="30">
        <f t="shared" si="9"/>
        <v>968.79</v>
      </c>
      <c r="L20" s="39">
        <f t="shared" si="0"/>
        <v>0.49826675</v>
      </c>
      <c r="M20" s="29">
        <f t="shared" si="1"/>
        <v>56</v>
      </c>
      <c r="N20" s="30">
        <f>+'Table 7 Local Revenue'!AL19</f>
        <v>2586492.5</v>
      </c>
      <c r="O20" s="30">
        <f t="shared" si="2"/>
        <v>997.11</v>
      </c>
      <c r="P20" s="32">
        <f t="shared" si="3"/>
        <v>1.029232</v>
      </c>
      <c r="Q20" s="29">
        <f t="shared" si="4"/>
        <v>23</v>
      </c>
    </row>
    <row r="21" spans="1:17" ht="12.75">
      <c r="A21" s="28">
        <v>14</v>
      </c>
      <c r="B21" s="29" t="s">
        <v>15</v>
      </c>
      <c r="C21" s="571">
        <f>+'Table 3 Levels 1&amp;2'!U21</f>
        <v>4204</v>
      </c>
      <c r="D21" s="30">
        <f>ROUND('Table 7 Local Revenue'!$AB$74*'Table 7 Local Revenue'!F20/1000,0)</f>
        <v>2654438</v>
      </c>
      <c r="E21" s="30">
        <f t="shared" si="5"/>
        <v>631.41</v>
      </c>
      <c r="F21" s="30">
        <f>ROUND('Table 7 Local Revenue'!$AD$74*'Table 7 Local Revenue'!AH20,0)</f>
        <v>2310666</v>
      </c>
      <c r="G21" s="30">
        <f t="shared" si="6"/>
        <v>549.64</v>
      </c>
      <c r="H21" s="30">
        <f>'Table 7 Local Revenue'!AK20</f>
        <v>200564.5</v>
      </c>
      <c r="I21" s="30">
        <f t="shared" si="7"/>
        <v>47.71</v>
      </c>
      <c r="J21" s="30">
        <f t="shared" si="8"/>
        <v>5165668.5</v>
      </c>
      <c r="K21" s="30">
        <f t="shared" si="9"/>
        <v>1228.75</v>
      </c>
      <c r="L21" s="39">
        <f t="shared" si="0"/>
        <v>0.63196902</v>
      </c>
      <c r="M21" s="29">
        <f t="shared" si="1"/>
        <v>45</v>
      </c>
      <c r="N21" s="30">
        <f>+'Table 7 Local Revenue'!AL20</f>
        <v>5043058.5</v>
      </c>
      <c r="O21" s="30">
        <f t="shared" si="2"/>
        <v>1199.59</v>
      </c>
      <c r="P21" s="32">
        <f t="shared" si="3"/>
        <v>0.976269</v>
      </c>
      <c r="Q21" s="29">
        <f t="shared" si="4"/>
        <v>35</v>
      </c>
    </row>
    <row r="22" spans="1:17" ht="12.75">
      <c r="A22" s="42">
        <v>15</v>
      </c>
      <c r="B22" s="43" t="s">
        <v>16</v>
      </c>
      <c r="C22" s="572">
        <f>+'Table 3 Levels 1&amp;2'!U22</f>
        <v>5290</v>
      </c>
      <c r="D22" s="44">
        <f>ROUND('Table 7 Local Revenue'!$AB$74*'Table 7 Local Revenue'!F21/1000,0)</f>
        <v>4112204</v>
      </c>
      <c r="E22" s="44">
        <f t="shared" si="5"/>
        <v>777.35</v>
      </c>
      <c r="F22" s="44">
        <f>ROUND('Table 7 Local Revenue'!$AD$74*'Table 7 Local Revenue'!AH21,0)</f>
        <v>2894232</v>
      </c>
      <c r="G22" s="44">
        <f t="shared" si="6"/>
        <v>547.11</v>
      </c>
      <c r="H22" s="44">
        <f>'Table 7 Local Revenue'!AK21</f>
        <v>157490</v>
      </c>
      <c r="I22" s="44">
        <f t="shared" si="7"/>
        <v>29.77</v>
      </c>
      <c r="J22" s="44">
        <f t="shared" si="8"/>
        <v>7163926</v>
      </c>
      <c r="K22" s="44">
        <f t="shared" si="9"/>
        <v>1354.24</v>
      </c>
      <c r="L22" s="50">
        <f t="shared" si="0"/>
        <v>0.69651086</v>
      </c>
      <c r="M22" s="43">
        <f t="shared" si="1"/>
        <v>39</v>
      </c>
      <c r="N22" s="44">
        <f>+'Table 7 Local Revenue'!AL21</f>
        <v>7225562</v>
      </c>
      <c r="O22" s="44">
        <f t="shared" si="2"/>
        <v>1365.89</v>
      </c>
      <c r="P22" s="45">
        <f t="shared" si="3"/>
        <v>1.008603</v>
      </c>
      <c r="Q22" s="43">
        <f t="shared" si="4"/>
        <v>30</v>
      </c>
    </row>
    <row r="23" spans="1:17" ht="12.75">
      <c r="A23" s="28">
        <v>16</v>
      </c>
      <c r="B23" s="29" t="s">
        <v>17</v>
      </c>
      <c r="C23" s="571">
        <f>+'Table 3 Levels 1&amp;2'!U23</f>
        <v>7004</v>
      </c>
      <c r="D23" s="30">
        <f>ROUND('Table 7 Local Revenue'!$AB$74*'Table 7 Local Revenue'!F22/1000,0)</f>
        <v>6857936</v>
      </c>
      <c r="E23" s="30">
        <f t="shared" si="5"/>
        <v>979.15</v>
      </c>
      <c r="F23" s="30">
        <f>ROUND('Table 7 Local Revenue'!$AD$74*'Table 7 Local Revenue'!AH22,0)</f>
        <v>4785241</v>
      </c>
      <c r="G23" s="30">
        <f t="shared" si="6"/>
        <v>683.22</v>
      </c>
      <c r="H23" s="30">
        <f>'Table 7 Local Revenue'!AK22</f>
        <v>315106.5</v>
      </c>
      <c r="I23" s="30">
        <f t="shared" si="7"/>
        <v>44.99</v>
      </c>
      <c r="J23" s="30">
        <f t="shared" si="8"/>
        <v>11958283.5</v>
      </c>
      <c r="K23" s="30">
        <f t="shared" si="9"/>
        <v>1707.35</v>
      </c>
      <c r="L23" s="39">
        <f t="shared" si="0"/>
        <v>0.87812191</v>
      </c>
      <c r="M23" s="29">
        <f t="shared" si="1"/>
        <v>23</v>
      </c>
      <c r="N23" s="30">
        <f>+'Table 7 Local Revenue'!AL22</f>
        <v>16323240.5</v>
      </c>
      <c r="O23" s="30">
        <f t="shared" si="2"/>
        <v>2330.56</v>
      </c>
      <c r="P23" s="32">
        <f t="shared" si="3"/>
        <v>1.365016</v>
      </c>
      <c r="Q23" s="29">
        <f t="shared" si="4"/>
        <v>5</v>
      </c>
    </row>
    <row r="24" spans="1:17" ht="12.75">
      <c r="A24" s="28">
        <v>17</v>
      </c>
      <c r="B24" s="29" t="s">
        <v>18</v>
      </c>
      <c r="C24" s="571">
        <f>+'Table 3 Levels 1&amp;2'!U24</f>
        <v>65780</v>
      </c>
      <c r="D24" s="30">
        <f>ROUND('Table 7 Local Revenue'!$AB$74*'Table 7 Local Revenue'!F23/1000,0)</f>
        <v>76347600</v>
      </c>
      <c r="E24" s="30">
        <f t="shared" si="5"/>
        <v>1160.65</v>
      </c>
      <c r="F24" s="30">
        <f>ROUND('Table 7 Local Revenue'!$AD$74*'Table 7 Local Revenue'!AH23,0)</f>
        <v>117231126</v>
      </c>
      <c r="G24" s="30">
        <f t="shared" si="6"/>
        <v>1782.17</v>
      </c>
      <c r="H24" s="30">
        <f>'Table 7 Local Revenue'!AK23</f>
        <v>4104461.5</v>
      </c>
      <c r="I24" s="30">
        <f t="shared" si="7"/>
        <v>62.4</v>
      </c>
      <c r="J24" s="30">
        <f t="shared" si="8"/>
        <v>197683187.5</v>
      </c>
      <c r="K24" s="30">
        <f t="shared" si="9"/>
        <v>3005.22</v>
      </c>
      <c r="L24" s="39">
        <f t="shared" si="0"/>
        <v>1.54564064</v>
      </c>
      <c r="M24" s="29">
        <f t="shared" si="1"/>
        <v>8</v>
      </c>
      <c r="N24" s="30">
        <f>+'Table 7 Local Revenue'!AL23</f>
        <v>209136067.5</v>
      </c>
      <c r="O24" s="30">
        <f t="shared" si="2"/>
        <v>3179.33</v>
      </c>
      <c r="P24" s="32">
        <f t="shared" si="3"/>
        <v>1.057936</v>
      </c>
      <c r="Q24" s="29">
        <f t="shared" si="4"/>
        <v>20</v>
      </c>
    </row>
    <row r="25" spans="1:17" ht="12.75">
      <c r="A25" s="28">
        <v>18</v>
      </c>
      <c r="B25" s="29" t="s">
        <v>19</v>
      </c>
      <c r="C25" s="571">
        <f>+'Table 3 Levels 1&amp;2'!U25</f>
        <v>2606</v>
      </c>
      <c r="D25" s="30">
        <f>ROUND('Table 7 Local Revenue'!$AB$74*'Table 7 Local Revenue'!F24/1000,0)</f>
        <v>1145257</v>
      </c>
      <c r="E25" s="30">
        <f t="shared" si="5"/>
        <v>439.47</v>
      </c>
      <c r="F25" s="30">
        <f>ROUND('Table 7 Local Revenue'!$AD$74*'Table 7 Local Revenue'!AH24,0)</f>
        <v>969379</v>
      </c>
      <c r="G25" s="30">
        <f t="shared" si="6"/>
        <v>371.98</v>
      </c>
      <c r="H25" s="30">
        <f>'Table 7 Local Revenue'!AK24</f>
        <v>85632</v>
      </c>
      <c r="I25" s="30">
        <f t="shared" si="7"/>
        <v>32.86</v>
      </c>
      <c r="J25" s="30">
        <f t="shared" si="8"/>
        <v>2200268</v>
      </c>
      <c r="K25" s="30">
        <f t="shared" si="9"/>
        <v>844.31</v>
      </c>
      <c r="L25" s="39">
        <f t="shared" si="0"/>
        <v>0.43424436</v>
      </c>
      <c r="M25" s="29">
        <f t="shared" si="1"/>
        <v>63</v>
      </c>
      <c r="N25" s="30">
        <f>+'Table 7 Local Revenue'!AL24</f>
        <v>1971977</v>
      </c>
      <c r="O25" s="30">
        <f t="shared" si="2"/>
        <v>756.71</v>
      </c>
      <c r="P25" s="32">
        <f t="shared" si="3"/>
        <v>0.896247</v>
      </c>
      <c r="Q25" s="29">
        <f t="shared" si="4"/>
        <v>48</v>
      </c>
    </row>
    <row r="26" spans="1:17" ht="12.75">
      <c r="A26" s="28">
        <v>19</v>
      </c>
      <c r="B26" s="29" t="s">
        <v>20</v>
      </c>
      <c r="C26" s="571">
        <f>+'Table 3 Levels 1&amp;2'!U26</f>
        <v>3716</v>
      </c>
      <c r="D26" s="30">
        <f>ROUND('Table 7 Local Revenue'!$AB$74*'Table 7 Local Revenue'!F25/1000,0)</f>
        <v>2349694</v>
      </c>
      <c r="E26" s="30">
        <f t="shared" si="5"/>
        <v>632.32</v>
      </c>
      <c r="F26" s="30">
        <f>ROUND('Table 7 Local Revenue'!$AD$74*'Table 7 Local Revenue'!AH25,0)</f>
        <v>2175136</v>
      </c>
      <c r="G26" s="30">
        <f t="shared" si="6"/>
        <v>585.34</v>
      </c>
      <c r="H26" s="30">
        <f>'Table 7 Local Revenue'!AK25</f>
        <v>81404</v>
      </c>
      <c r="I26" s="30">
        <f t="shared" si="7"/>
        <v>21.91</v>
      </c>
      <c r="J26" s="30">
        <f t="shared" si="8"/>
        <v>4606234</v>
      </c>
      <c r="K26" s="30">
        <f t="shared" si="9"/>
        <v>1239.57</v>
      </c>
      <c r="L26" s="39">
        <f t="shared" si="0"/>
        <v>0.63753395</v>
      </c>
      <c r="M26" s="29">
        <f t="shared" si="1"/>
        <v>43</v>
      </c>
      <c r="N26" s="30">
        <f>+'Table 7 Local Revenue'!AL25</f>
        <v>4279709</v>
      </c>
      <c r="O26" s="30">
        <f t="shared" si="2"/>
        <v>1151.7</v>
      </c>
      <c r="P26" s="32">
        <f t="shared" si="3"/>
        <v>0.929113</v>
      </c>
      <c r="Q26" s="29">
        <f t="shared" si="4"/>
        <v>43</v>
      </c>
    </row>
    <row r="27" spans="1:17" ht="12.75">
      <c r="A27" s="42">
        <v>20</v>
      </c>
      <c r="B27" s="43" t="s">
        <v>21</v>
      </c>
      <c r="C27" s="572">
        <f>+'Table 3 Levels 1&amp;2'!U27</f>
        <v>8938</v>
      </c>
      <c r="D27" s="44">
        <f>ROUND('Table 7 Local Revenue'!$AB$74*'Table 7 Local Revenue'!F26/1000,0)</f>
        <v>4146581</v>
      </c>
      <c r="E27" s="44">
        <f t="shared" si="5"/>
        <v>463.93</v>
      </c>
      <c r="F27" s="44">
        <f>ROUND('Table 7 Local Revenue'!$AD$74*'Table 7 Local Revenue'!AH26,0)</f>
        <v>4144773</v>
      </c>
      <c r="G27" s="44">
        <f t="shared" si="6"/>
        <v>463.72</v>
      </c>
      <c r="H27" s="44">
        <f>'Table 7 Local Revenue'!AK26</f>
        <v>240117</v>
      </c>
      <c r="I27" s="44">
        <f t="shared" si="7"/>
        <v>26.86</v>
      </c>
      <c r="J27" s="44">
        <f t="shared" si="8"/>
        <v>8531471</v>
      </c>
      <c r="K27" s="44">
        <f t="shared" si="9"/>
        <v>954.52</v>
      </c>
      <c r="L27" s="50">
        <f t="shared" si="0"/>
        <v>0.49092742</v>
      </c>
      <c r="M27" s="43">
        <f t="shared" si="1"/>
        <v>59</v>
      </c>
      <c r="N27" s="44">
        <f>+'Table 7 Local Revenue'!AL26</f>
        <v>8278023</v>
      </c>
      <c r="O27" s="44">
        <f t="shared" si="2"/>
        <v>926.16</v>
      </c>
      <c r="P27" s="45">
        <f t="shared" si="3"/>
        <v>0.970289</v>
      </c>
      <c r="Q27" s="43">
        <f t="shared" si="4"/>
        <v>37</v>
      </c>
    </row>
    <row r="28" spans="1:17" ht="12.75">
      <c r="A28" s="28">
        <v>21</v>
      </c>
      <c r="B28" s="29" t="s">
        <v>22</v>
      </c>
      <c r="C28" s="571">
        <f>+'Table 3 Levels 1&amp;2'!U28</f>
        <v>5313</v>
      </c>
      <c r="D28" s="30">
        <f>ROUND('Table 7 Local Revenue'!$AB$74*'Table 7 Local Revenue'!F27/1000,0)</f>
        <v>1763136</v>
      </c>
      <c r="E28" s="30">
        <f t="shared" si="5"/>
        <v>331.85</v>
      </c>
      <c r="F28" s="30">
        <f>ROUND('Table 7 Local Revenue'!$AD$74*'Table 7 Local Revenue'!AH27,0)</f>
        <v>3354739</v>
      </c>
      <c r="G28" s="30">
        <f t="shared" si="6"/>
        <v>631.42</v>
      </c>
      <c r="H28" s="30">
        <f>'Table 7 Local Revenue'!AK27</f>
        <v>72008</v>
      </c>
      <c r="I28" s="30">
        <f t="shared" si="7"/>
        <v>13.55</v>
      </c>
      <c r="J28" s="30">
        <f t="shared" si="8"/>
        <v>5189883</v>
      </c>
      <c r="K28" s="30">
        <f t="shared" si="9"/>
        <v>976.83</v>
      </c>
      <c r="L28" s="39">
        <f t="shared" si="0"/>
        <v>0.50240187</v>
      </c>
      <c r="M28" s="29">
        <f t="shared" si="1"/>
        <v>55</v>
      </c>
      <c r="N28" s="30">
        <f>+'Table 7 Local Revenue'!AL27</f>
        <v>3357953</v>
      </c>
      <c r="O28" s="30">
        <f t="shared" si="2"/>
        <v>632.03</v>
      </c>
      <c r="P28" s="32">
        <f t="shared" si="3"/>
        <v>0.647021</v>
      </c>
      <c r="Q28" s="29">
        <f t="shared" si="4"/>
        <v>61</v>
      </c>
    </row>
    <row r="29" spans="1:17" ht="12.75">
      <c r="A29" s="28">
        <v>22</v>
      </c>
      <c r="B29" s="29" t="s">
        <v>23</v>
      </c>
      <c r="C29" s="571">
        <f>+'Table 3 Levels 1&amp;2'!U29</f>
        <v>5223</v>
      </c>
      <c r="D29" s="30">
        <f>ROUND('Table 7 Local Revenue'!$AB$74*'Table 7 Local Revenue'!F28/1000,0)</f>
        <v>1109144</v>
      </c>
      <c r="E29" s="30">
        <f t="shared" si="5"/>
        <v>212.36</v>
      </c>
      <c r="F29" s="30">
        <f>ROUND('Table 7 Local Revenue'!$AD$74*'Table 7 Local Revenue'!AH28,0)</f>
        <v>1511386</v>
      </c>
      <c r="G29" s="30">
        <f t="shared" si="6"/>
        <v>289.37</v>
      </c>
      <c r="H29" s="30">
        <f>'Table 7 Local Revenue'!AK28</f>
        <v>662382</v>
      </c>
      <c r="I29" s="30">
        <f t="shared" si="7"/>
        <v>126.82</v>
      </c>
      <c r="J29" s="30">
        <f t="shared" si="8"/>
        <v>3282912</v>
      </c>
      <c r="K29" s="30">
        <f t="shared" si="9"/>
        <v>628.55</v>
      </c>
      <c r="L29" s="39">
        <f t="shared" si="0"/>
        <v>0.32327498</v>
      </c>
      <c r="M29" s="29">
        <f t="shared" si="1"/>
        <v>66</v>
      </c>
      <c r="N29" s="30">
        <f>+'Table 7 Local Revenue'!AL28</f>
        <v>2942903</v>
      </c>
      <c r="O29" s="30">
        <f t="shared" si="2"/>
        <v>563.45</v>
      </c>
      <c r="P29" s="32">
        <f t="shared" si="3"/>
        <v>0.896428</v>
      </c>
      <c r="Q29" s="29">
        <f t="shared" si="4"/>
        <v>47</v>
      </c>
    </row>
    <row r="30" spans="1:17" ht="12.75">
      <c r="A30" s="28">
        <v>23</v>
      </c>
      <c r="B30" s="29" t="s">
        <v>24</v>
      </c>
      <c r="C30" s="571">
        <f>+'Table 3 Levels 1&amp;2'!U30</f>
        <v>19623</v>
      </c>
      <c r="D30" s="30">
        <f>ROUND('Table 7 Local Revenue'!$AB$74*'Table 7 Local Revenue'!F29/1000,0)</f>
        <v>9435328</v>
      </c>
      <c r="E30" s="30">
        <f t="shared" si="5"/>
        <v>480.83</v>
      </c>
      <c r="F30" s="30">
        <f>ROUND('Table 7 Local Revenue'!$AD$74*'Table 7 Local Revenue'!AH29,0)</f>
        <v>18487766</v>
      </c>
      <c r="G30" s="30">
        <f t="shared" si="6"/>
        <v>942.15</v>
      </c>
      <c r="H30" s="30">
        <f>'Table 7 Local Revenue'!AK29</f>
        <v>572415.5</v>
      </c>
      <c r="I30" s="30">
        <f t="shared" si="7"/>
        <v>29.17</v>
      </c>
      <c r="J30" s="30">
        <f t="shared" si="8"/>
        <v>28495509.5</v>
      </c>
      <c r="K30" s="30">
        <f t="shared" si="9"/>
        <v>1452.15</v>
      </c>
      <c r="L30" s="39">
        <f t="shared" si="0"/>
        <v>0.7468678</v>
      </c>
      <c r="M30" s="29">
        <f t="shared" si="1"/>
        <v>33</v>
      </c>
      <c r="N30" s="30">
        <f>+'Table 7 Local Revenue'!AL29</f>
        <v>28913927.5</v>
      </c>
      <c r="O30" s="30">
        <f t="shared" si="2"/>
        <v>1473.47</v>
      </c>
      <c r="P30" s="32">
        <f t="shared" si="3"/>
        <v>1.014682</v>
      </c>
      <c r="Q30" s="29">
        <f t="shared" si="4"/>
        <v>28</v>
      </c>
    </row>
    <row r="31" spans="1:17" ht="12.75">
      <c r="A31" s="28">
        <v>24</v>
      </c>
      <c r="B31" s="29" t="s">
        <v>25</v>
      </c>
      <c r="C31" s="571">
        <f>+'Table 3 Levels 1&amp;2'!U31</f>
        <v>6707</v>
      </c>
      <c r="D31" s="30">
        <f>ROUND('Table 7 Local Revenue'!$AB$74*'Table 7 Local Revenue'!F30/1000,0)</f>
        <v>10662931</v>
      </c>
      <c r="E31" s="30">
        <f t="shared" si="5"/>
        <v>1589.82</v>
      </c>
      <c r="F31" s="30">
        <f>ROUND('Table 7 Local Revenue'!$AD$74*'Table 7 Local Revenue'!AH30,0)</f>
        <v>13668954</v>
      </c>
      <c r="G31" s="30">
        <f t="shared" si="6"/>
        <v>2038.01</v>
      </c>
      <c r="H31" s="30">
        <f>'Table 7 Local Revenue'!AK30</f>
        <v>188544.5</v>
      </c>
      <c r="I31" s="30">
        <f t="shared" si="7"/>
        <v>28.11</v>
      </c>
      <c r="J31" s="30">
        <f t="shared" si="8"/>
        <v>24520429.5</v>
      </c>
      <c r="K31" s="30">
        <f t="shared" si="9"/>
        <v>3655.95</v>
      </c>
      <c r="L31" s="39">
        <f t="shared" si="0"/>
        <v>1.8803232</v>
      </c>
      <c r="M31" s="29">
        <f t="shared" si="1"/>
        <v>3</v>
      </c>
      <c r="N31" s="30">
        <f>+'Table 7 Local Revenue'!AL30</f>
        <v>23782088.5</v>
      </c>
      <c r="O31" s="30">
        <f t="shared" si="2"/>
        <v>3545.86</v>
      </c>
      <c r="P31" s="32">
        <f t="shared" si="3"/>
        <v>0.969887</v>
      </c>
      <c r="Q31" s="29">
        <f t="shared" si="4"/>
        <v>38</v>
      </c>
    </row>
    <row r="32" spans="1:17" ht="12.75">
      <c r="A32" s="42">
        <v>25</v>
      </c>
      <c r="B32" s="43" t="s">
        <v>26</v>
      </c>
      <c r="C32" s="572">
        <f>+'Table 3 Levels 1&amp;2'!U32</f>
        <v>3499</v>
      </c>
      <c r="D32" s="44">
        <f>ROUND('Table 7 Local Revenue'!$AB$74*'Table 7 Local Revenue'!F31/1000,0)</f>
        <v>2234934</v>
      </c>
      <c r="E32" s="44">
        <f t="shared" si="5"/>
        <v>638.74</v>
      </c>
      <c r="F32" s="44">
        <f>ROUND('Table 7 Local Revenue'!$AD$74*'Table 7 Local Revenue'!AH31,0)</f>
        <v>3145537</v>
      </c>
      <c r="G32" s="44">
        <f t="shared" si="6"/>
        <v>898.98</v>
      </c>
      <c r="H32" s="44">
        <f>'Table 7 Local Revenue'!AK31</f>
        <v>84060.5</v>
      </c>
      <c r="I32" s="44">
        <f t="shared" si="7"/>
        <v>24.02</v>
      </c>
      <c r="J32" s="44">
        <f t="shared" si="8"/>
        <v>5464531.5</v>
      </c>
      <c r="K32" s="44">
        <f t="shared" si="9"/>
        <v>1561.74</v>
      </c>
      <c r="L32" s="50">
        <f t="shared" si="0"/>
        <v>0.80323198</v>
      </c>
      <c r="M32" s="43">
        <f t="shared" si="1"/>
        <v>29</v>
      </c>
      <c r="N32" s="44">
        <f>+'Table 7 Local Revenue'!AL31</f>
        <v>6825620.5</v>
      </c>
      <c r="O32" s="44">
        <f t="shared" si="2"/>
        <v>1950.73</v>
      </c>
      <c r="P32" s="45">
        <f t="shared" si="3"/>
        <v>1.249075</v>
      </c>
      <c r="Q32" s="43">
        <f t="shared" si="4"/>
        <v>7</v>
      </c>
    </row>
    <row r="33" spans="1:17" ht="12.75">
      <c r="A33" s="28">
        <v>26</v>
      </c>
      <c r="B33" s="29" t="s">
        <v>27</v>
      </c>
      <c r="C33" s="571">
        <f>+'Table 3 Levels 1&amp;2'!U33</f>
        <v>69883</v>
      </c>
      <c r="D33" s="30">
        <f>ROUND('Table 7 Local Revenue'!$AB$74*'Table 7 Local Revenue'!F32/1000,0)</f>
        <v>78601231</v>
      </c>
      <c r="E33" s="30">
        <f t="shared" si="5"/>
        <v>1124.75</v>
      </c>
      <c r="F33" s="30">
        <f>ROUND('Table 7 Local Revenue'!$AD$74*'Table 7 Local Revenue'!AH32,0)</f>
        <v>136795396</v>
      </c>
      <c r="G33" s="30">
        <f t="shared" si="6"/>
        <v>1957.49</v>
      </c>
      <c r="H33" s="30">
        <f>'Table 7 Local Revenue'!AK32</f>
        <v>1987138.5</v>
      </c>
      <c r="I33" s="30">
        <f t="shared" si="7"/>
        <v>28.44</v>
      </c>
      <c r="J33" s="30">
        <f t="shared" si="8"/>
        <v>217383765.5</v>
      </c>
      <c r="K33" s="30">
        <f t="shared" si="9"/>
        <v>3110.68</v>
      </c>
      <c r="L33" s="39">
        <f t="shared" si="0"/>
        <v>1.59988068</v>
      </c>
      <c r="M33" s="29">
        <f t="shared" si="1"/>
        <v>7</v>
      </c>
      <c r="N33" s="30">
        <f>+'Table 7 Local Revenue'!AL32</f>
        <v>171655680.5</v>
      </c>
      <c r="O33" s="30">
        <f t="shared" si="2"/>
        <v>2456.33</v>
      </c>
      <c r="P33" s="32">
        <f t="shared" si="3"/>
        <v>0.789644</v>
      </c>
      <c r="Q33" s="29">
        <f t="shared" si="4"/>
        <v>53</v>
      </c>
    </row>
    <row r="34" spans="1:17" ht="12.75">
      <c r="A34" s="28">
        <v>27</v>
      </c>
      <c r="B34" s="29" t="s">
        <v>28</v>
      </c>
      <c r="C34" s="571">
        <f>+'Table 3 Levels 1&amp;2'!U34</f>
        <v>8141</v>
      </c>
      <c r="D34" s="30">
        <f>ROUND('Table 7 Local Revenue'!$AB$74*'Table 7 Local Revenue'!F33/1000,0)</f>
        <v>4081294</v>
      </c>
      <c r="E34" s="30">
        <f t="shared" si="5"/>
        <v>501.33</v>
      </c>
      <c r="F34" s="30">
        <f>ROUND('Table 7 Local Revenue'!$AD$74*'Table 7 Local Revenue'!AH33,0)</f>
        <v>5972194</v>
      </c>
      <c r="G34" s="30">
        <f t="shared" si="6"/>
        <v>733.59</v>
      </c>
      <c r="H34" s="30">
        <f>'Table 7 Local Revenue'!AK33</f>
        <v>309494.5</v>
      </c>
      <c r="I34" s="30">
        <f t="shared" si="7"/>
        <v>38.02</v>
      </c>
      <c r="J34" s="30">
        <f t="shared" si="8"/>
        <v>10362982.5</v>
      </c>
      <c r="K34" s="30">
        <f t="shared" si="9"/>
        <v>1272.94</v>
      </c>
      <c r="L34" s="39">
        <f t="shared" si="0"/>
        <v>0.65469676</v>
      </c>
      <c r="M34" s="29">
        <f t="shared" si="1"/>
        <v>42</v>
      </c>
      <c r="N34" s="30">
        <f>+'Table 7 Local Revenue'!AL33</f>
        <v>11898912.5</v>
      </c>
      <c r="O34" s="30">
        <f t="shared" si="2"/>
        <v>1461.6</v>
      </c>
      <c r="P34" s="32">
        <f t="shared" si="3"/>
        <v>1.148208</v>
      </c>
      <c r="Q34" s="29">
        <f t="shared" si="4"/>
        <v>12</v>
      </c>
    </row>
    <row r="35" spans="1:17" ht="12.75">
      <c r="A35" s="28">
        <v>28</v>
      </c>
      <c r="B35" s="29" t="s">
        <v>29</v>
      </c>
      <c r="C35" s="571">
        <f>+'Table 3 Levels 1&amp;2'!U35</f>
        <v>37665</v>
      </c>
      <c r="D35" s="30">
        <f>ROUND('Table 7 Local Revenue'!$AB$74*'Table 7 Local Revenue'!F34/1000,0)</f>
        <v>30504627</v>
      </c>
      <c r="E35" s="30">
        <f t="shared" si="5"/>
        <v>809.89</v>
      </c>
      <c r="F35" s="30">
        <f>ROUND('Table 7 Local Revenue'!$AD$74*'Table 7 Local Revenue'!AH34,0)</f>
        <v>63690964</v>
      </c>
      <c r="G35" s="30">
        <f t="shared" si="6"/>
        <v>1690.99</v>
      </c>
      <c r="H35" s="30">
        <f>'Table 7 Local Revenue'!AK34</f>
        <v>2181837</v>
      </c>
      <c r="I35" s="30">
        <f t="shared" si="7"/>
        <v>57.93</v>
      </c>
      <c r="J35" s="30">
        <f t="shared" si="8"/>
        <v>96377428</v>
      </c>
      <c r="K35" s="30">
        <f t="shared" si="9"/>
        <v>2558.81</v>
      </c>
      <c r="L35" s="39">
        <f t="shared" si="0"/>
        <v>1.31604366</v>
      </c>
      <c r="M35" s="29">
        <f t="shared" si="1"/>
        <v>10</v>
      </c>
      <c r="N35" s="30">
        <f>+'Table 7 Local Revenue'!AL34</f>
        <v>86495735</v>
      </c>
      <c r="O35" s="30">
        <f t="shared" si="2"/>
        <v>2296.45</v>
      </c>
      <c r="P35" s="32">
        <f t="shared" si="3"/>
        <v>0.897468</v>
      </c>
      <c r="Q35" s="29">
        <f t="shared" si="4"/>
        <v>46</v>
      </c>
    </row>
    <row r="36" spans="1:17" ht="12.75">
      <c r="A36" s="28">
        <v>29</v>
      </c>
      <c r="B36" s="29" t="s">
        <v>30</v>
      </c>
      <c r="C36" s="571">
        <f>+'Table 3 Levels 1&amp;2'!U36</f>
        <v>19944</v>
      </c>
      <c r="D36" s="30">
        <f>ROUND('Table 7 Local Revenue'!$AB$74*'Table 7 Local Revenue'!F35/1000,0)</f>
        <v>13409931</v>
      </c>
      <c r="E36" s="30">
        <f t="shared" si="5"/>
        <v>672.38</v>
      </c>
      <c r="F36" s="30">
        <f>ROUND('Table 7 Local Revenue'!$AD$74*'Table 7 Local Revenue'!AH35,0)</f>
        <v>18275040</v>
      </c>
      <c r="G36" s="30">
        <f t="shared" si="6"/>
        <v>916.32</v>
      </c>
      <c r="H36" s="30">
        <f>'Table 7 Local Revenue'!AK35</f>
        <v>891777</v>
      </c>
      <c r="I36" s="30">
        <f t="shared" si="7"/>
        <v>44.71</v>
      </c>
      <c r="J36" s="30">
        <f t="shared" si="8"/>
        <v>32576748</v>
      </c>
      <c r="K36" s="30">
        <f t="shared" si="9"/>
        <v>1633.41</v>
      </c>
      <c r="L36" s="39">
        <f t="shared" si="0"/>
        <v>0.84009319</v>
      </c>
      <c r="M36" s="29">
        <f t="shared" si="1"/>
        <v>27</v>
      </c>
      <c r="N36" s="30">
        <f>+'Table 7 Local Revenue'!AL35</f>
        <v>34307950</v>
      </c>
      <c r="O36" s="30">
        <f t="shared" si="2"/>
        <v>1720.21</v>
      </c>
      <c r="P36" s="32">
        <f t="shared" si="3"/>
        <v>1.05314</v>
      </c>
      <c r="Q36" s="29">
        <f t="shared" si="4"/>
        <v>21</v>
      </c>
    </row>
    <row r="37" spans="1:17" ht="12.75">
      <c r="A37" s="42">
        <v>30</v>
      </c>
      <c r="B37" s="43" t="s">
        <v>31</v>
      </c>
      <c r="C37" s="572">
        <f>+'Table 3 Levels 1&amp;2'!U37</f>
        <v>3557</v>
      </c>
      <c r="D37" s="44">
        <f>ROUND('Table 7 Local Revenue'!$AB$74*'Table 7 Local Revenue'!F36/1000,0)</f>
        <v>1602393</v>
      </c>
      <c r="E37" s="44">
        <f t="shared" si="5"/>
        <v>450.49</v>
      </c>
      <c r="F37" s="44">
        <f>ROUND('Table 7 Local Revenue'!$AD$74*'Table 7 Local Revenue'!AH36,0)</f>
        <v>2453039</v>
      </c>
      <c r="G37" s="44">
        <f t="shared" si="6"/>
        <v>689.64</v>
      </c>
      <c r="H37" s="44">
        <f>'Table 7 Local Revenue'!AK36</f>
        <v>71148</v>
      </c>
      <c r="I37" s="44">
        <f t="shared" si="7"/>
        <v>20</v>
      </c>
      <c r="J37" s="44">
        <f t="shared" si="8"/>
        <v>4126580</v>
      </c>
      <c r="K37" s="44">
        <f t="shared" si="9"/>
        <v>1160.13</v>
      </c>
      <c r="L37" s="50">
        <f t="shared" si="0"/>
        <v>0.59667647</v>
      </c>
      <c r="M37" s="43">
        <f t="shared" si="1"/>
        <v>48</v>
      </c>
      <c r="N37" s="44">
        <f>+'Table 7 Local Revenue'!AL36</f>
        <v>4705183</v>
      </c>
      <c r="O37" s="44">
        <f t="shared" si="2"/>
        <v>1322.8</v>
      </c>
      <c r="P37" s="45">
        <f t="shared" si="3"/>
        <v>1.140217</v>
      </c>
      <c r="Q37" s="43">
        <f t="shared" si="4"/>
        <v>14</v>
      </c>
    </row>
    <row r="38" spans="1:17" ht="12.75">
      <c r="A38" s="28">
        <v>31</v>
      </c>
      <c r="B38" s="29" t="s">
        <v>32</v>
      </c>
      <c r="C38" s="571">
        <f>+'Table 3 Levels 1&amp;2'!U38</f>
        <v>8749</v>
      </c>
      <c r="D38" s="30">
        <f>ROUND('Table 7 Local Revenue'!$AB$74*'Table 7 Local Revenue'!F37/1000,0)</f>
        <v>6263824</v>
      </c>
      <c r="E38" s="30">
        <f t="shared" si="5"/>
        <v>715.95</v>
      </c>
      <c r="F38" s="30">
        <f>ROUND('Table 7 Local Revenue'!$AD$74*'Table 7 Local Revenue'!AH37,0)</f>
        <v>10067825</v>
      </c>
      <c r="G38" s="30">
        <f t="shared" si="6"/>
        <v>1150.74</v>
      </c>
      <c r="H38" s="30">
        <f>'Table 7 Local Revenue'!AK37</f>
        <v>274438</v>
      </c>
      <c r="I38" s="30">
        <f t="shared" si="7"/>
        <v>31.37</v>
      </c>
      <c r="J38" s="30">
        <f t="shared" si="8"/>
        <v>16606087</v>
      </c>
      <c r="K38" s="30">
        <f t="shared" si="9"/>
        <v>1898.06</v>
      </c>
      <c r="L38" s="39">
        <f t="shared" si="0"/>
        <v>0.97620762</v>
      </c>
      <c r="M38" s="29">
        <f t="shared" si="1"/>
        <v>18</v>
      </c>
      <c r="N38" s="30">
        <f>+'Table 7 Local Revenue'!AL37</f>
        <v>19285374</v>
      </c>
      <c r="O38" s="30">
        <f t="shared" si="2"/>
        <v>2204.29</v>
      </c>
      <c r="P38" s="32">
        <f t="shared" si="3"/>
        <v>1.161338</v>
      </c>
      <c r="Q38" s="29">
        <f t="shared" si="4"/>
        <v>11</v>
      </c>
    </row>
    <row r="39" spans="1:17" ht="12.75">
      <c r="A39" s="28">
        <v>32</v>
      </c>
      <c r="B39" s="29" t="s">
        <v>33</v>
      </c>
      <c r="C39" s="571">
        <f>+'Table 3 Levels 1&amp;2'!U39</f>
        <v>25668</v>
      </c>
      <c r="D39" s="30">
        <f>ROUND('Table 7 Local Revenue'!$AB$74*'Table 7 Local Revenue'!F38/1000,0)</f>
        <v>5996754</v>
      </c>
      <c r="E39" s="30">
        <f t="shared" si="5"/>
        <v>233.63</v>
      </c>
      <c r="F39" s="30">
        <f>ROUND('Table 7 Local Revenue'!$AD$74*'Table 7 Local Revenue'!AH38,0)</f>
        <v>14211969</v>
      </c>
      <c r="G39" s="30">
        <f t="shared" si="6"/>
        <v>553.68</v>
      </c>
      <c r="H39" s="30">
        <f>'Table 7 Local Revenue'!AK38</f>
        <v>653791.5</v>
      </c>
      <c r="I39" s="30">
        <f t="shared" si="7"/>
        <v>25.47</v>
      </c>
      <c r="J39" s="30">
        <f t="shared" si="8"/>
        <v>20862514.5</v>
      </c>
      <c r="K39" s="30">
        <f t="shared" si="9"/>
        <v>812.78</v>
      </c>
      <c r="L39" s="39">
        <f t="shared" si="0"/>
        <v>0.4180279</v>
      </c>
      <c r="M39" s="29">
        <f t="shared" si="1"/>
        <v>64</v>
      </c>
      <c r="N39" s="30">
        <f>+'Table 7 Local Revenue'!AL38</f>
        <v>25692227.5</v>
      </c>
      <c r="O39" s="30">
        <f t="shared" si="2"/>
        <v>1000.94</v>
      </c>
      <c r="P39" s="32">
        <f t="shared" si="3"/>
        <v>1.231502</v>
      </c>
      <c r="Q39" s="29">
        <f t="shared" si="4"/>
        <v>8</v>
      </c>
    </row>
    <row r="40" spans="1:17" ht="12.75">
      <c r="A40" s="28">
        <v>33</v>
      </c>
      <c r="B40" s="29" t="s">
        <v>34</v>
      </c>
      <c r="C40" s="571">
        <f>+'Table 3 Levels 1&amp;2'!U40</f>
        <v>3402</v>
      </c>
      <c r="D40" s="30">
        <f>ROUND('Table 7 Local Revenue'!$AB$74*'Table 7 Local Revenue'!F39/1000,0)</f>
        <v>1845394</v>
      </c>
      <c r="E40" s="30">
        <f t="shared" si="5"/>
        <v>542.44</v>
      </c>
      <c r="F40" s="30">
        <f>ROUND('Table 7 Local Revenue'!$AD$74*'Table 7 Local Revenue'!AH39,0)</f>
        <v>1778475</v>
      </c>
      <c r="G40" s="30">
        <f t="shared" si="6"/>
        <v>522.77</v>
      </c>
      <c r="H40" s="30">
        <f>'Table 7 Local Revenue'!AK39</f>
        <v>97969.5</v>
      </c>
      <c r="I40" s="30">
        <f t="shared" si="7"/>
        <v>28.8</v>
      </c>
      <c r="J40" s="30">
        <f t="shared" si="8"/>
        <v>3721838.5</v>
      </c>
      <c r="K40" s="30">
        <f t="shared" si="9"/>
        <v>1094.01</v>
      </c>
      <c r="L40" s="39">
        <f aca="true" t="shared" si="10" ref="L40:L71">ROUND(K40/K$75,8)</f>
        <v>0.56266973</v>
      </c>
      <c r="M40" s="29">
        <f aca="true" t="shared" si="11" ref="M40:M71">RANK(L40,L$8:L$73,0)</f>
        <v>50</v>
      </c>
      <c r="N40" s="30">
        <f>+'Table 7 Local Revenue'!AL39</f>
        <v>1952525.5</v>
      </c>
      <c r="O40" s="30">
        <f aca="true" t="shared" si="12" ref="O40:O71">ROUND(N40/C40,2)</f>
        <v>573.93</v>
      </c>
      <c r="P40" s="32">
        <f aca="true" t="shared" si="13" ref="P40:P71">ROUND(O40/K40,6)</f>
        <v>0.524611</v>
      </c>
      <c r="Q40" s="29">
        <f aca="true" t="shared" si="14" ref="Q40:Q71">RANK(P40,P$8:P$73,0)</f>
        <v>66</v>
      </c>
    </row>
    <row r="41" spans="1:17" ht="12.75">
      <c r="A41" s="28">
        <v>34</v>
      </c>
      <c r="B41" s="29" t="s">
        <v>35</v>
      </c>
      <c r="C41" s="571">
        <f>+'Table 3 Levels 1&amp;2'!U41</f>
        <v>7365</v>
      </c>
      <c r="D41" s="30">
        <f>ROUND('Table 7 Local Revenue'!$AB$74*'Table 7 Local Revenue'!F40/1000,0)</f>
        <v>4233428</v>
      </c>
      <c r="E41" s="30">
        <f t="shared" si="5"/>
        <v>574.8</v>
      </c>
      <c r="F41" s="30">
        <f>ROUND('Table 7 Local Revenue'!$AD$74*'Table 7 Local Revenue'!AH40,0)</f>
        <v>5744967</v>
      </c>
      <c r="G41" s="30">
        <f t="shared" si="6"/>
        <v>780.04</v>
      </c>
      <c r="H41" s="30">
        <f>'Table 7 Local Revenue'!AK40</f>
        <v>282480.5</v>
      </c>
      <c r="I41" s="30">
        <f t="shared" si="7"/>
        <v>38.35</v>
      </c>
      <c r="J41" s="30">
        <f t="shared" si="8"/>
        <v>10260875.5</v>
      </c>
      <c r="K41" s="30">
        <f t="shared" si="9"/>
        <v>1393.19</v>
      </c>
      <c r="L41" s="39">
        <f t="shared" si="10"/>
        <v>0.71654357</v>
      </c>
      <c r="M41" s="29">
        <f t="shared" si="11"/>
        <v>36</v>
      </c>
      <c r="N41" s="30">
        <f>+'Table 7 Local Revenue'!AL40</f>
        <v>8130615.5</v>
      </c>
      <c r="O41" s="30">
        <f t="shared" si="12"/>
        <v>1103.95</v>
      </c>
      <c r="P41" s="32">
        <f t="shared" si="13"/>
        <v>0.79239</v>
      </c>
      <c r="Q41" s="29">
        <f t="shared" si="14"/>
        <v>52</v>
      </c>
    </row>
    <row r="42" spans="1:17" ht="12.75">
      <c r="A42" s="42">
        <v>35</v>
      </c>
      <c r="B42" s="43" t="s">
        <v>36</v>
      </c>
      <c r="C42" s="572">
        <f>+'Table 3 Levels 1&amp;2'!U42</f>
        <v>9052</v>
      </c>
      <c r="D42" s="44">
        <f>ROUND('Table 7 Local Revenue'!$AB$74*'Table 7 Local Revenue'!F41/1000,0)</f>
        <v>4540997</v>
      </c>
      <c r="E42" s="44">
        <f t="shared" si="5"/>
        <v>501.66</v>
      </c>
      <c r="F42" s="44">
        <f>ROUND('Table 7 Local Revenue'!$AD$74*'Table 7 Local Revenue'!AH41,0)</f>
        <v>8289246</v>
      </c>
      <c r="G42" s="44">
        <f t="shared" si="6"/>
        <v>915.74</v>
      </c>
      <c r="H42" s="44">
        <f>'Table 7 Local Revenue'!AK41</f>
        <v>699268.5</v>
      </c>
      <c r="I42" s="44">
        <f t="shared" si="7"/>
        <v>77.25</v>
      </c>
      <c r="J42" s="44">
        <f t="shared" si="8"/>
        <v>13529511.5</v>
      </c>
      <c r="K42" s="44">
        <f t="shared" si="9"/>
        <v>1494.64</v>
      </c>
      <c r="L42" s="50">
        <f t="shared" si="10"/>
        <v>0.7687212</v>
      </c>
      <c r="M42" s="43">
        <f t="shared" si="11"/>
        <v>31</v>
      </c>
      <c r="N42" s="44">
        <f>+'Table 7 Local Revenue'!AL41</f>
        <v>12244361.5</v>
      </c>
      <c r="O42" s="44">
        <f t="shared" si="12"/>
        <v>1352.67</v>
      </c>
      <c r="P42" s="45">
        <f t="shared" si="13"/>
        <v>0.905014</v>
      </c>
      <c r="Q42" s="43">
        <f t="shared" si="14"/>
        <v>45</v>
      </c>
    </row>
    <row r="43" spans="1:17" ht="12.75">
      <c r="A43" s="28">
        <v>36</v>
      </c>
      <c r="B43" s="29" t="s">
        <v>37</v>
      </c>
      <c r="C43" s="571">
        <f>+'Table 3 Levels 1&amp;2'!U43</f>
        <v>91651</v>
      </c>
      <c r="D43" s="30">
        <f>ROUND('Table 7 Local Revenue'!$AB$74*'Table 7 Local Revenue'!F42/1000,0)</f>
        <v>72504917</v>
      </c>
      <c r="E43" s="30">
        <f t="shared" si="5"/>
        <v>791.1</v>
      </c>
      <c r="F43" s="30">
        <f>ROUND('Table 7 Local Revenue'!$AD$74*'Table 7 Local Revenue'!AH42,0)</f>
        <v>115532702</v>
      </c>
      <c r="G43" s="30">
        <f t="shared" si="6"/>
        <v>1260.57</v>
      </c>
      <c r="H43" s="30">
        <f>'Table 7 Local Revenue'!AK42</f>
        <v>3429618</v>
      </c>
      <c r="I43" s="30">
        <f t="shared" si="7"/>
        <v>37.42</v>
      </c>
      <c r="J43" s="30">
        <f t="shared" si="8"/>
        <v>191467237</v>
      </c>
      <c r="K43" s="30">
        <f t="shared" si="9"/>
        <v>2089.09</v>
      </c>
      <c r="L43" s="39">
        <f t="shared" si="10"/>
        <v>1.07445791</v>
      </c>
      <c r="M43" s="29">
        <f t="shared" si="11"/>
        <v>15</v>
      </c>
      <c r="N43" s="30">
        <f>+'Table 7 Local Revenue'!AL42</f>
        <v>186272700</v>
      </c>
      <c r="O43" s="30">
        <f t="shared" si="12"/>
        <v>2032.41</v>
      </c>
      <c r="P43" s="32">
        <f t="shared" si="13"/>
        <v>0.972869</v>
      </c>
      <c r="Q43" s="29">
        <f t="shared" si="14"/>
        <v>36</v>
      </c>
    </row>
    <row r="44" spans="1:17" ht="12.75">
      <c r="A44" s="28">
        <v>37</v>
      </c>
      <c r="B44" s="29" t="s">
        <v>38</v>
      </c>
      <c r="C44" s="571">
        <f>+'Table 3 Levels 1&amp;2'!U44</f>
        <v>23139</v>
      </c>
      <c r="D44" s="30">
        <f>ROUND('Table 7 Local Revenue'!$AB$74*'Table 7 Local Revenue'!F43/1000,0)</f>
        <v>11910199</v>
      </c>
      <c r="E44" s="30">
        <f t="shared" si="5"/>
        <v>514.72</v>
      </c>
      <c r="F44" s="30">
        <f>ROUND('Table 7 Local Revenue'!$AD$74*'Table 7 Local Revenue'!AH43,0)</f>
        <v>19813252</v>
      </c>
      <c r="G44" s="30">
        <f t="shared" si="6"/>
        <v>856.27</v>
      </c>
      <c r="H44" s="30">
        <f>'Table 7 Local Revenue'!AK43</f>
        <v>753946</v>
      </c>
      <c r="I44" s="30">
        <f t="shared" si="7"/>
        <v>32.58</v>
      </c>
      <c r="J44" s="30">
        <f t="shared" si="8"/>
        <v>32477397</v>
      </c>
      <c r="K44" s="30">
        <f t="shared" si="9"/>
        <v>1403.58</v>
      </c>
      <c r="L44" s="39">
        <f t="shared" si="10"/>
        <v>0.72188734</v>
      </c>
      <c r="M44" s="29">
        <f t="shared" si="11"/>
        <v>35</v>
      </c>
      <c r="N44" s="30">
        <f>+'Table 7 Local Revenue'!AL43</f>
        <v>47813982</v>
      </c>
      <c r="O44" s="30">
        <f t="shared" si="12"/>
        <v>2066.38</v>
      </c>
      <c r="P44" s="32">
        <f t="shared" si="13"/>
        <v>1.472221</v>
      </c>
      <c r="Q44" s="29">
        <f t="shared" si="14"/>
        <v>2</v>
      </c>
    </row>
    <row r="45" spans="1:17" ht="12.75">
      <c r="A45" s="28">
        <v>38</v>
      </c>
      <c r="B45" s="29" t="s">
        <v>39</v>
      </c>
      <c r="C45" s="571">
        <f>+'Table 3 Levels 1&amp;2'!U45</f>
        <v>6532</v>
      </c>
      <c r="D45" s="30">
        <f>ROUND('Table 7 Local Revenue'!$AB$74*'Table 7 Local Revenue'!F44/1000,0)</f>
        <v>20124148</v>
      </c>
      <c r="E45" s="30">
        <f t="shared" si="5"/>
        <v>3080.86</v>
      </c>
      <c r="F45" s="30">
        <f>ROUND('Table 7 Local Revenue'!$AD$74*'Table 7 Local Revenue'!AH44,0)</f>
        <v>9613123</v>
      </c>
      <c r="G45" s="30">
        <f t="shared" si="6"/>
        <v>1471.7</v>
      </c>
      <c r="H45" s="30">
        <f>'Table 7 Local Revenue'!AK44</f>
        <v>122031.5</v>
      </c>
      <c r="I45" s="30">
        <f t="shared" si="7"/>
        <v>18.68</v>
      </c>
      <c r="J45" s="30">
        <f t="shared" si="8"/>
        <v>29859302.5</v>
      </c>
      <c r="K45" s="30">
        <f t="shared" si="9"/>
        <v>4571.23</v>
      </c>
      <c r="L45" s="39">
        <f t="shared" si="10"/>
        <v>2.35106875</v>
      </c>
      <c r="M45" s="29">
        <f t="shared" si="11"/>
        <v>1</v>
      </c>
      <c r="N45" s="30">
        <f>+'Table 7 Local Revenue'!AL44</f>
        <v>21684435.5</v>
      </c>
      <c r="O45" s="30">
        <f t="shared" si="12"/>
        <v>3319.72</v>
      </c>
      <c r="P45" s="32">
        <f t="shared" si="13"/>
        <v>0.72622</v>
      </c>
      <c r="Q45" s="29">
        <f t="shared" si="14"/>
        <v>58</v>
      </c>
    </row>
    <row r="46" spans="1:17" ht="12.75">
      <c r="A46" s="28">
        <v>39</v>
      </c>
      <c r="B46" s="29" t="s">
        <v>40</v>
      </c>
      <c r="C46" s="571">
        <f>+'Table 3 Levels 1&amp;2'!U46</f>
        <v>4995</v>
      </c>
      <c r="D46" s="30">
        <f>ROUND('Table 7 Local Revenue'!$AB$74*'Table 7 Local Revenue'!F45/1000,0)</f>
        <v>11235392</v>
      </c>
      <c r="E46" s="30">
        <f t="shared" si="5"/>
        <v>2249.33</v>
      </c>
      <c r="F46" s="30">
        <f>ROUND('Table 7 Local Revenue'!$AD$74*'Table 7 Local Revenue'!AH45,0)</f>
        <v>5004042</v>
      </c>
      <c r="G46" s="30">
        <f t="shared" si="6"/>
        <v>1001.81</v>
      </c>
      <c r="H46" s="30">
        <f>'Table 7 Local Revenue'!AK45</f>
        <v>152739</v>
      </c>
      <c r="I46" s="30">
        <f t="shared" si="7"/>
        <v>30.58</v>
      </c>
      <c r="J46" s="30">
        <f t="shared" si="8"/>
        <v>16392173</v>
      </c>
      <c r="K46" s="30">
        <f t="shared" si="9"/>
        <v>3281.72</v>
      </c>
      <c r="L46" s="39">
        <f t="shared" si="10"/>
        <v>1.68784974</v>
      </c>
      <c r="M46" s="29">
        <f t="shared" si="11"/>
        <v>6</v>
      </c>
      <c r="N46" s="30">
        <f>+'Table 7 Local Revenue'!AL45</f>
        <v>9461851</v>
      </c>
      <c r="O46" s="30">
        <f t="shared" si="12"/>
        <v>1894.26</v>
      </c>
      <c r="P46" s="32">
        <f t="shared" si="13"/>
        <v>0.577216</v>
      </c>
      <c r="Q46" s="29">
        <f t="shared" si="14"/>
        <v>65</v>
      </c>
    </row>
    <row r="47" spans="1:17" ht="12.75">
      <c r="A47" s="42">
        <v>40</v>
      </c>
      <c r="B47" s="43" t="s">
        <v>41</v>
      </c>
      <c r="C47" s="572">
        <f>+'Table 3 Levels 1&amp;2'!U47</f>
        <v>30276</v>
      </c>
      <c r="D47" s="44">
        <f>ROUND('Table 7 Local Revenue'!$AB$74*'Table 7 Local Revenue'!F46/1000,0)</f>
        <v>16849938</v>
      </c>
      <c r="E47" s="44">
        <f t="shared" si="5"/>
        <v>556.54</v>
      </c>
      <c r="F47" s="44">
        <f>ROUND('Table 7 Local Revenue'!$AD$74*'Table 7 Local Revenue'!AH46,0)</f>
        <v>33244628</v>
      </c>
      <c r="G47" s="44">
        <f t="shared" si="6"/>
        <v>1098.05</v>
      </c>
      <c r="H47" s="44">
        <f>'Table 7 Local Revenue'!AK46</f>
        <v>1182559</v>
      </c>
      <c r="I47" s="44">
        <f t="shared" si="7"/>
        <v>39.06</v>
      </c>
      <c r="J47" s="44">
        <f t="shared" si="8"/>
        <v>51277125</v>
      </c>
      <c r="K47" s="44">
        <f t="shared" si="9"/>
        <v>1693.66</v>
      </c>
      <c r="L47" s="50">
        <f t="shared" si="10"/>
        <v>0.87108089</v>
      </c>
      <c r="M47" s="43">
        <f t="shared" si="11"/>
        <v>26</v>
      </c>
      <c r="N47" s="44">
        <f>+'Table 7 Local Revenue'!AL46</f>
        <v>52650638</v>
      </c>
      <c r="O47" s="44">
        <f t="shared" si="12"/>
        <v>1739.02</v>
      </c>
      <c r="P47" s="45">
        <f t="shared" si="13"/>
        <v>1.026782</v>
      </c>
      <c r="Q47" s="43">
        <f t="shared" si="14"/>
        <v>24</v>
      </c>
    </row>
    <row r="48" spans="1:17" ht="12.75">
      <c r="A48" s="28">
        <v>41</v>
      </c>
      <c r="B48" s="29" t="s">
        <v>42</v>
      </c>
      <c r="C48" s="571">
        <f>+'Table 3 Levels 1&amp;2'!U48</f>
        <v>2348</v>
      </c>
      <c r="D48" s="30">
        <f>ROUND('Table 7 Local Revenue'!$AB$74*'Table 7 Local Revenue'!F47/1000,0)</f>
        <v>1062795</v>
      </c>
      <c r="E48" s="30">
        <f t="shared" si="5"/>
        <v>452.64</v>
      </c>
      <c r="F48" s="30">
        <f>ROUND('Table 7 Local Revenue'!$AD$74*'Table 7 Local Revenue'!AH47,0)</f>
        <v>1159613</v>
      </c>
      <c r="G48" s="30">
        <f t="shared" si="6"/>
        <v>493.87</v>
      </c>
      <c r="H48" s="30">
        <f>'Table 7 Local Revenue'!AK47</f>
        <v>47382.5</v>
      </c>
      <c r="I48" s="30">
        <f t="shared" si="7"/>
        <v>20.18</v>
      </c>
      <c r="J48" s="30">
        <f t="shared" si="8"/>
        <v>2269790.5</v>
      </c>
      <c r="K48" s="30">
        <f t="shared" si="9"/>
        <v>966.69</v>
      </c>
      <c r="L48" s="39">
        <f t="shared" si="10"/>
        <v>0.49718668</v>
      </c>
      <c r="M48" s="29">
        <f t="shared" si="11"/>
        <v>57</v>
      </c>
      <c r="N48" s="30">
        <f>+'Table 7 Local Revenue'!AL47</f>
        <v>3376445.5</v>
      </c>
      <c r="O48" s="30">
        <f t="shared" si="12"/>
        <v>1438.01</v>
      </c>
      <c r="P48" s="32">
        <f t="shared" si="13"/>
        <v>1.487561</v>
      </c>
      <c r="Q48" s="29">
        <f t="shared" si="14"/>
        <v>1</v>
      </c>
    </row>
    <row r="49" spans="1:17" ht="12.75">
      <c r="A49" s="28">
        <v>42</v>
      </c>
      <c r="B49" s="29" t="s">
        <v>43</v>
      </c>
      <c r="C49" s="571">
        <f>+'Table 3 Levels 1&amp;2'!U49</f>
        <v>5167</v>
      </c>
      <c r="D49" s="30">
        <f>ROUND('Table 7 Local Revenue'!$AB$74*'Table 7 Local Revenue'!F48/1000,0)</f>
        <v>2170191</v>
      </c>
      <c r="E49" s="30">
        <f t="shared" si="5"/>
        <v>420.01</v>
      </c>
      <c r="F49" s="30">
        <f>ROUND('Table 7 Local Revenue'!$AD$74*'Table 7 Local Revenue'!AH48,0)</f>
        <v>3050882</v>
      </c>
      <c r="G49" s="30">
        <f t="shared" si="6"/>
        <v>590.46</v>
      </c>
      <c r="H49" s="30">
        <f>'Table 7 Local Revenue'!AK48</f>
        <v>226753</v>
      </c>
      <c r="I49" s="30">
        <f t="shared" si="7"/>
        <v>43.88</v>
      </c>
      <c r="J49" s="30">
        <f t="shared" si="8"/>
        <v>5447826</v>
      </c>
      <c r="K49" s="30">
        <f t="shared" si="9"/>
        <v>1054.35</v>
      </c>
      <c r="L49" s="39">
        <f t="shared" si="10"/>
        <v>0.54227185</v>
      </c>
      <c r="M49" s="29">
        <f t="shared" si="11"/>
        <v>51</v>
      </c>
      <c r="N49" s="30">
        <f>+'Table 7 Local Revenue'!AL48</f>
        <v>5337107</v>
      </c>
      <c r="O49" s="30">
        <f t="shared" si="12"/>
        <v>1032.92</v>
      </c>
      <c r="P49" s="32">
        <f t="shared" si="13"/>
        <v>0.979675</v>
      </c>
      <c r="Q49" s="29">
        <f t="shared" si="14"/>
        <v>34</v>
      </c>
    </row>
    <row r="50" spans="1:17" ht="12.75">
      <c r="A50" s="28">
        <v>43</v>
      </c>
      <c r="B50" s="29" t="s">
        <v>44</v>
      </c>
      <c r="C50" s="571">
        <f>+'Table 3 Levels 1&amp;2'!U50</f>
        <v>6058</v>
      </c>
      <c r="D50" s="30">
        <f>ROUND('Table 7 Local Revenue'!$AB$74*'Table 7 Local Revenue'!F49/1000,0)</f>
        <v>2771754</v>
      </c>
      <c r="E50" s="30">
        <f t="shared" si="5"/>
        <v>457.54</v>
      </c>
      <c r="F50" s="30">
        <f>ROUND('Table 7 Local Revenue'!$AD$74*'Table 7 Local Revenue'!AH49,0)</f>
        <v>4205467</v>
      </c>
      <c r="G50" s="30">
        <f t="shared" si="6"/>
        <v>694.2</v>
      </c>
      <c r="H50" s="30">
        <f>'Table 7 Local Revenue'!AK49</f>
        <v>155164</v>
      </c>
      <c r="I50" s="30">
        <f t="shared" si="7"/>
        <v>25.61</v>
      </c>
      <c r="J50" s="30">
        <f t="shared" si="8"/>
        <v>7132385</v>
      </c>
      <c r="K50" s="30">
        <f t="shared" si="9"/>
        <v>1177.35</v>
      </c>
      <c r="L50" s="39">
        <f t="shared" si="10"/>
        <v>0.60553304</v>
      </c>
      <c r="M50" s="29">
        <f t="shared" si="11"/>
        <v>46</v>
      </c>
      <c r="N50" s="30">
        <f>+'Table 7 Local Revenue'!AL49</f>
        <v>6916319</v>
      </c>
      <c r="O50" s="30">
        <f t="shared" si="12"/>
        <v>1141.68</v>
      </c>
      <c r="P50" s="32">
        <f t="shared" si="13"/>
        <v>0.969703</v>
      </c>
      <c r="Q50" s="29">
        <f t="shared" si="14"/>
        <v>39</v>
      </c>
    </row>
    <row r="51" spans="1:17" ht="12.75">
      <c r="A51" s="28">
        <v>44</v>
      </c>
      <c r="B51" s="29" t="s">
        <v>45</v>
      </c>
      <c r="C51" s="571">
        <f>+'Table 3 Levels 1&amp;2'!U51</f>
        <v>11371</v>
      </c>
      <c r="D51" s="30">
        <f>ROUND('Table 7 Local Revenue'!$AB$74*'Table 7 Local Revenue'!F50/1000,0)</f>
        <v>8602765</v>
      </c>
      <c r="E51" s="30">
        <f t="shared" si="5"/>
        <v>756.55</v>
      </c>
      <c r="F51" s="30">
        <f>ROUND('Table 7 Local Revenue'!$AD$74*'Table 7 Local Revenue'!AH50,0)</f>
        <v>13825970</v>
      </c>
      <c r="G51" s="30">
        <f t="shared" si="6"/>
        <v>1215.9</v>
      </c>
      <c r="H51" s="30">
        <f>'Table 7 Local Revenue'!AK50</f>
        <v>358155.5</v>
      </c>
      <c r="I51" s="30">
        <f t="shared" si="7"/>
        <v>31.5</v>
      </c>
      <c r="J51" s="30">
        <f t="shared" si="8"/>
        <v>22786890.5</v>
      </c>
      <c r="K51" s="30">
        <f t="shared" si="9"/>
        <v>2003.95</v>
      </c>
      <c r="L51" s="39">
        <f t="shared" si="10"/>
        <v>1.03066882</v>
      </c>
      <c r="M51" s="29">
        <f t="shared" si="11"/>
        <v>17</v>
      </c>
      <c r="N51" s="30">
        <f>+'Table 7 Local Revenue'!AL50</f>
        <v>25142250.5</v>
      </c>
      <c r="O51" s="30">
        <f t="shared" si="12"/>
        <v>2211.09</v>
      </c>
      <c r="P51" s="32">
        <f t="shared" si="13"/>
        <v>1.103366</v>
      </c>
      <c r="Q51" s="29">
        <f t="shared" si="14"/>
        <v>18</v>
      </c>
    </row>
    <row r="52" spans="1:17" ht="12.75">
      <c r="A52" s="42">
        <v>45</v>
      </c>
      <c r="B52" s="43" t="s">
        <v>46</v>
      </c>
      <c r="C52" s="572">
        <f>+'Table 3 Levels 1&amp;2'!U52</f>
        <v>12424</v>
      </c>
      <c r="D52" s="44">
        <f>ROUND('Table 7 Local Revenue'!$AB$74*'Table 7 Local Revenue'!F51/1000,0)</f>
        <v>26663348</v>
      </c>
      <c r="E52" s="44">
        <f t="shared" si="5"/>
        <v>2146.12</v>
      </c>
      <c r="F52" s="44">
        <f>ROUND('Table 7 Local Revenue'!$AD$74*'Table 7 Local Revenue'!AH51,0)</f>
        <v>16847525</v>
      </c>
      <c r="G52" s="44">
        <f t="shared" si="6"/>
        <v>1356.05</v>
      </c>
      <c r="H52" s="44">
        <f>'Table 7 Local Revenue'!AK51</f>
        <v>290165</v>
      </c>
      <c r="I52" s="44">
        <f t="shared" si="7"/>
        <v>23.36</v>
      </c>
      <c r="J52" s="44">
        <f t="shared" si="8"/>
        <v>43801038</v>
      </c>
      <c r="K52" s="44">
        <f t="shared" si="9"/>
        <v>3525.52</v>
      </c>
      <c r="L52" s="50">
        <f t="shared" si="10"/>
        <v>1.81324062</v>
      </c>
      <c r="M52" s="43">
        <f t="shared" si="11"/>
        <v>4</v>
      </c>
      <c r="N52" s="44">
        <f>+'Table 7 Local Revenue'!AL51</f>
        <v>60139246</v>
      </c>
      <c r="O52" s="44">
        <f t="shared" si="12"/>
        <v>4840.57</v>
      </c>
      <c r="P52" s="45">
        <f t="shared" si="13"/>
        <v>1.373009</v>
      </c>
      <c r="Q52" s="43">
        <f t="shared" si="14"/>
        <v>3</v>
      </c>
    </row>
    <row r="53" spans="1:17" ht="12.75">
      <c r="A53" s="28">
        <v>46</v>
      </c>
      <c r="B53" s="29" t="s">
        <v>47</v>
      </c>
      <c r="C53" s="571">
        <f>+'Table 3 Levels 1&amp;2'!U53</f>
        <v>2145</v>
      </c>
      <c r="D53" s="30">
        <f>ROUND('Table 7 Local Revenue'!$AB$74*'Table 7 Local Revenue'!F52/1000,0)</f>
        <v>1243271</v>
      </c>
      <c r="E53" s="30">
        <f t="shared" si="5"/>
        <v>579.61</v>
      </c>
      <c r="F53" s="30">
        <f>ROUND('Table 7 Local Revenue'!$AD$74*'Table 7 Local Revenue'!AH52,0)</f>
        <v>881151</v>
      </c>
      <c r="G53" s="30">
        <f t="shared" si="6"/>
        <v>410.79</v>
      </c>
      <c r="H53" s="30">
        <f>'Table 7 Local Revenue'!AK52</f>
        <v>34938</v>
      </c>
      <c r="I53" s="30">
        <f t="shared" si="7"/>
        <v>16.29</v>
      </c>
      <c r="J53" s="30">
        <f t="shared" si="8"/>
        <v>2159360</v>
      </c>
      <c r="K53" s="30">
        <f t="shared" si="9"/>
        <v>1006.69</v>
      </c>
      <c r="L53" s="39">
        <f t="shared" si="10"/>
        <v>0.51775942</v>
      </c>
      <c r="M53" s="29">
        <f t="shared" si="11"/>
        <v>54</v>
      </c>
      <c r="N53" s="30">
        <f>+'Table 7 Local Revenue'!AL52</f>
        <v>1475395</v>
      </c>
      <c r="O53" s="30">
        <f t="shared" si="12"/>
        <v>687.83</v>
      </c>
      <c r="P53" s="32">
        <f t="shared" si="13"/>
        <v>0.683259</v>
      </c>
      <c r="Q53" s="29">
        <f t="shared" si="14"/>
        <v>60</v>
      </c>
    </row>
    <row r="54" spans="1:17" ht="12.75">
      <c r="A54" s="28">
        <v>47</v>
      </c>
      <c r="B54" s="29" t="s">
        <v>48</v>
      </c>
      <c r="C54" s="571">
        <f>+'Table 3 Levels 1&amp;2'!U54</f>
        <v>5536</v>
      </c>
      <c r="D54" s="30">
        <f>ROUND('Table 7 Local Revenue'!$AB$74*'Table 7 Local Revenue'!F53/1000,0)</f>
        <v>8909526</v>
      </c>
      <c r="E54" s="30">
        <f t="shared" si="5"/>
        <v>1609.38</v>
      </c>
      <c r="F54" s="30">
        <f>ROUND('Table 7 Local Revenue'!$AD$74*'Table 7 Local Revenue'!AH53,0)</f>
        <v>10017296</v>
      </c>
      <c r="G54" s="30">
        <f t="shared" si="6"/>
        <v>1809.48</v>
      </c>
      <c r="H54" s="30">
        <f>'Table 7 Local Revenue'!AK53</f>
        <v>88049</v>
      </c>
      <c r="I54" s="30">
        <f t="shared" si="7"/>
        <v>15.9</v>
      </c>
      <c r="J54" s="30">
        <f t="shared" si="8"/>
        <v>19014871</v>
      </c>
      <c r="K54" s="30">
        <f t="shared" si="9"/>
        <v>3434.77</v>
      </c>
      <c r="L54" s="39">
        <f t="shared" si="10"/>
        <v>1.7665662</v>
      </c>
      <c r="M54" s="29">
        <f t="shared" si="11"/>
        <v>5</v>
      </c>
      <c r="N54" s="30">
        <f>+'Table 7 Local Revenue'!AL53</f>
        <v>19459130</v>
      </c>
      <c r="O54" s="30">
        <f t="shared" si="12"/>
        <v>3515.02</v>
      </c>
      <c r="P54" s="32">
        <f t="shared" si="13"/>
        <v>1.023364</v>
      </c>
      <c r="Q54" s="29">
        <f t="shared" si="14"/>
        <v>26</v>
      </c>
    </row>
    <row r="55" spans="1:17" ht="12.75">
      <c r="A55" s="28">
        <v>48</v>
      </c>
      <c r="B55" s="29" t="s">
        <v>452</v>
      </c>
      <c r="C55" s="571">
        <f>+'Table 3 Levels 1&amp;2'!U55</f>
        <v>9273</v>
      </c>
      <c r="D55" s="30">
        <f>ROUND('Table 7 Local Revenue'!$AB$74*'Table 7 Local Revenue'!F54/1000,0)</f>
        <v>7016931</v>
      </c>
      <c r="E55" s="30">
        <f t="shared" si="5"/>
        <v>756.71</v>
      </c>
      <c r="F55" s="30">
        <f>ROUND('Table 7 Local Revenue'!$AD$74*'Table 7 Local Revenue'!AH54,0)</f>
        <v>9977245</v>
      </c>
      <c r="G55" s="30">
        <f t="shared" si="6"/>
        <v>1075.95</v>
      </c>
      <c r="H55" s="30">
        <f>'Table 7 Local Revenue'!AK54</f>
        <v>208475</v>
      </c>
      <c r="I55" s="30">
        <f t="shared" si="7"/>
        <v>22.48</v>
      </c>
      <c r="J55" s="30">
        <f t="shared" si="8"/>
        <v>17202651</v>
      </c>
      <c r="K55" s="30">
        <f t="shared" si="9"/>
        <v>1855.13</v>
      </c>
      <c r="L55" s="39">
        <f t="shared" si="10"/>
        <v>0.95412792</v>
      </c>
      <c r="M55" s="29">
        <f t="shared" si="11"/>
        <v>19</v>
      </c>
      <c r="N55" s="30">
        <f>+'Table 7 Local Revenue'!AL54</f>
        <v>19733180</v>
      </c>
      <c r="O55" s="30">
        <f t="shared" si="12"/>
        <v>2128.03</v>
      </c>
      <c r="P55" s="32">
        <f t="shared" si="13"/>
        <v>1.147106</v>
      </c>
      <c r="Q55" s="29">
        <f t="shared" si="14"/>
        <v>13</v>
      </c>
    </row>
    <row r="56" spans="1:17" ht="12.75">
      <c r="A56" s="28">
        <v>49</v>
      </c>
      <c r="B56" s="29" t="s">
        <v>49</v>
      </c>
      <c r="C56" s="571">
        <f>+'Table 3 Levels 1&amp;2'!U56</f>
        <v>21456</v>
      </c>
      <c r="D56" s="30">
        <f>ROUND('Table 7 Local Revenue'!$AB$74*'Table 7 Local Revenue'!F55/1000,0)</f>
        <v>11087303</v>
      </c>
      <c r="E56" s="30">
        <f t="shared" si="5"/>
        <v>516.75</v>
      </c>
      <c r="F56" s="30">
        <f>ROUND('Table 7 Local Revenue'!$AD$74*'Table 7 Local Revenue'!AH55,0)</f>
        <v>13613265</v>
      </c>
      <c r="G56" s="30">
        <f t="shared" si="6"/>
        <v>634.47</v>
      </c>
      <c r="H56" s="30">
        <f>'Table 7 Local Revenue'!AK55</f>
        <v>455546</v>
      </c>
      <c r="I56" s="30">
        <f t="shared" si="7"/>
        <v>21.23</v>
      </c>
      <c r="J56" s="30">
        <f t="shared" si="8"/>
        <v>25156114</v>
      </c>
      <c r="K56" s="30">
        <f t="shared" si="9"/>
        <v>1172.45</v>
      </c>
      <c r="L56" s="39">
        <f t="shared" si="10"/>
        <v>0.60301288</v>
      </c>
      <c r="M56" s="29">
        <f t="shared" si="11"/>
        <v>47</v>
      </c>
      <c r="N56" s="30">
        <f>+'Table 7 Local Revenue'!AL55</f>
        <v>23141516</v>
      </c>
      <c r="O56" s="30">
        <f t="shared" si="12"/>
        <v>1078.56</v>
      </c>
      <c r="P56" s="32">
        <f t="shared" si="13"/>
        <v>0.91992</v>
      </c>
      <c r="Q56" s="29">
        <f t="shared" si="14"/>
        <v>44</v>
      </c>
    </row>
    <row r="57" spans="1:17" ht="12.75">
      <c r="A57" s="42">
        <v>50</v>
      </c>
      <c r="B57" s="43" t="s">
        <v>50</v>
      </c>
      <c r="C57" s="572">
        <f>+'Table 3 Levels 1&amp;2'!U57</f>
        <v>11497</v>
      </c>
      <c r="D57" s="44">
        <f>ROUND('Table 7 Local Revenue'!$AB$74*'Table 7 Local Revenue'!F56/1000,0)</f>
        <v>4892066</v>
      </c>
      <c r="E57" s="44">
        <f t="shared" si="5"/>
        <v>425.51</v>
      </c>
      <c r="F57" s="44">
        <f>ROUND('Table 7 Local Revenue'!$AD$74*'Table 7 Local Revenue'!AH56,0)</f>
        <v>6714625</v>
      </c>
      <c r="G57" s="44">
        <f t="shared" si="6"/>
        <v>584.03</v>
      </c>
      <c r="H57" s="44">
        <f>'Table 7 Local Revenue'!AK56</f>
        <v>510215</v>
      </c>
      <c r="I57" s="44">
        <f t="shared" si="7"/>
        <v>44.38</v>
      </c>
      <c r="J57" s="44">
        <f t="shared" si="8"/>
        <v>12116906</v>
      </c>
      <c r="K57" s="44">
        <f t="shared" si="9"/>
        <v>1053.92</v>
      </c>
      <c r="L57" s="50">
        <f t="shared" si="10"/>
        <v>0.54205069</v>
      </c>
      <c r="M57" s="43">
        <f t="shared" si="11"/>
        <v>52</v>
      </c>
      <c r="N57" s="44">
        <f>+'Table 7 Local Revenue'!AL56</f>
        <v>12760493</v>
      </c>
      <c r="O57" s="44">
        <f t="shared" si="12"/>
        <v>1109.9</v>
      </c>
      <c r="P57" s="45">
        <f t="shared" si="13"/>
        <v>1.053116</v>
      </c>
      <c r="Q57" s="43">
        <f t="shared" si="14"/>
        <v>22</v>
      </c>
    </row>
    <row r="58" spans="1:17" ht="12.75">
      <c r="A58" s="28">
        <v>51</v>
      </c>
      <c r="B58" s="29" t="s">
        <v>51</v>
      </c>
      <c r="C58" s="571">
        <f>+'Table 3 Levels 1&amp;2'!U58</f>
        <v>14037</v>
      </c>
      <c r="D58" s="30">
        <f>ROUND('Table 7 Local Revenue'!$AB$74*'Table 7 Local Revenue'!F57/1000,0)</f>
        <v>10529482</v>
      </c>
      <c r="E58" s="30">
        <f t="shared" si="5"/>
        <v>750.12</v>
      </c>
      <c r="F58" s="30">
        <f>ROUND('Table 7 Local Revenue'!$AD$74*'Table 7 Local Revenue'!AH57,0)</f>
        <v>12852002</v>
      </c>
      <c r="G58" s="30">
        <f t="shared" si="6"/>
        <v>915.58</v>
      </c>
      <c r="H58" s="30">
        <f>'Table 7 Local Revenue'!AK57</f>
        <v>515180</v>
      </c>
      <c r="I58" s="30">
        <f t="shared" si="7"/>
        <v>36.7</v>
      </c>
      <c r="J58" s="30">
        <f t="shared" si="8"/>
        <v>23896664</v>
      </c>
      <c r="K58" s="30">
        <f t="shared" si="9"/>
        <v>1702.41</v>
      </c>
      <c r="L58" s="39">
        <f t="shared" si="10"/>
        <v>0.87558118</v>
      </c>
      <c r="M58" s="29">
        <f t="shared" si="11"/>
        <v>24</v>
      </c>
      <c r="N58" s="30">
        <f>+'Table 7 Local Revenue'!AL57</f>
        <v>22865720</v>
      </c>
      <c r="O58" s="30">
        <f t="shared" si="12"/>
        <v>1628.96</v>
      </c>
      <c r="P58" s="32">
        <f t="shared" si="13"/>
        <v>0.956855</v>
      </c>
      <c r="Q58" s="29">
        <f t="shared" si="14"/>
        <v>42</v>
      </c>
    </row>
    <row r="59" spans="1:17" ht="12.75">
      <c r="A59" s="28">
        <v>52</v>
      </c>
      <c r="B59" s="29" t="s">
        <v>52</v>
      </c>
      <c r="C59" s="571">
        <f>+'Table 3 Levels 1&amp;2'!U59</f>
        <v>46388</v>
      </c>
      <c r="D59" s="30">
        <f>ROUND('Table 7 Local Revenue'!$AB$74*'Table 7 Local Revenue'!F58/1000,0)</f>
        <v>23227217</v>
      </c>
      <c r="E59" s="30">
        <f t="shared" si="5"/>
        <v>500.72</v>
      </c>
      <c r="F59" s="30">
        <f>ROUND('Table 7 Local Revenue'!$AD$74*'Table 7 Local Revenue'!AH58,0)</f>
        <v>49412660</v>
      </c>
      <c r="G59" s="30">
        <f t="shared" si="6"/>
        <v>1065.2</v>
      </c>
      <c r="H59" s="30">
        <f>'Table 7 Local Revenue'!AK58</f>
        <v>1799322</v>
      </c>
      <c r="I59" s="30">
        <f t="shared" si="7"/>
        <v>38.79</v>
      </c>
      <c r="J59" s="30">
        <f t="shared" si="8"/>
        <v>74439199</v>
      </c>
      <c r="K59" s="30">
        <f t="shared" si="9"/>
        <v>1604.71</v>
      </c>
      <c r="L59" s="39">
        <f t="shared" si="10"/>
        <v>0.82533225</v>
      </c>
      <c r="M59" s="29">
        <f t="shared" si="11"/>
        <v>28</v>
      </c>
      <c r="N59" s="30">
        <f>+'Table 7 Local Revenue'!AL58</f>
        <v>102060054</v>
      </c>
      <c r="O59" s="30">
        <f t="shared" si="12"/>
        <v>2200.14</v>
      </c>
      <c r="P59" s="32">
        <f t="shared" si="13"/>
        <v>1.371051</v>
      </c>
      <c r="Q59" s="29">
        <f t="shared" si="14"/>
        <v>4</v>
      </c>
    </row>
    <row r="60" spans="1:17" ht="12.75">
      <c r="A60" s="28">
        <v>53</v>
      </c>
      <c r="B60" s="29" t="s">
        <v>53</v>
      </c>
      <c r="C60" s="571">
        <f>+'Table 3 Levels 1&amp;2'!U60</f>
        <v>23995</v>
      </c>
      <c r="D60" s="30">
        <f>ROUND('Table 7 Local Revenue'!$AB$74*'Table 7 Local Revenue'!F59/1000,0)</f>
        <v>9423196</v>
      </c>
      <c r="E60" s="30">
        <f t="shared" si="5"/>
        <v>392.71</v>
      </c>
      <c r="F60" s="30">
        <f>ROUND('Table 7 Local Revenue'!$AD$74*'Table 7 Local Revenue'!AH59,0)</f>
        <v>20177566</v>
      </c>
      <c r="G60" s="30">
        <f t="shared" si="6"/>
        <v>840.91</v>
      </c>
      <c r="H60" s="30">
        <f>'Table 7 Local Revenue'!AK59</f>
        <v>132380</v>
      </c>
      <c r="I60" s="30">
        <f t="shared" si="7"/>
        <v>5.52</v>
      </c>
      <c r="J60" s="30">
        <f t="shared" si="8"/>
        <v>29733142</v>
      </c>
      <c r="K60" s="30">
        <f t="shared" si="9"/>
        <v>1239.14</v>
      </c>
      <c r="L60" s="39">
        <f t="shared" si="10"/>
        <v>0.63731279</v>
      </c>
      <c r="M60" s="29">
        <f t="shared" si="11"/>
        <v>44</v>
      </c>
      <c r="N60" s="30">
        <f>+'Table 7 Local Revenue'!AL59</f>
        <v>25697719</v>
      </c>
      <c r="O60" s="30">
        <f t="shared" si="12"/>
        <v>1070.96</v>
      </c>
      <c r="P60" s="32">
        <f t="shared" si="13"/>
        <v>0.864277</v>
      </c>
      <c r="Q60" s="29">
        <f t="shared" si="14"/>
        <v>50</v>
      </c>
    </row>
    <row r="61" spans="1:17" ht="12.75">
      <c r="A61" s="28">
        <v>54</v>
      </c>
      <c r="B61" s="29" t="s">
        <v>54</v>
      </c>
      <c r="C61" s="571">
        <f>+'Table 3 Levels 1&amp;2'!U61</f>
        <v>1569</v>
      </c>
      <c r="D61" s="30">
        <f>ROUND('Table 7 Local Revenue'!$AB$74*'Table 7 Local Revenue'!F60/1000,0)</f>
        <v>1625540</v>
      </c>
      <c r="E61" s="30">
        <f t="shared" si="5"/>
        <v>1036.04</v>
      </c>
      <c r="F61" s="30">
        <f>ROUND('Table 7 Local Revenue'!$AD$74*'Table 7 Local Revenue'!AH60,0)</f>
        <v>703620</v>
      </c>
      <c r="G61" s="30">
        <f t="shared" si="6"/>
        <v>448.45</v>
      </c>
      <c r="H61" s="30">
        <f>'Table 7 Local Revenue'!AK60</f>
        <v>61805.5</v>
      </c>
      <c r="I61" s="30">
        <f t="shared" si="7"/>
        <v>39.39</v>
      </c>
      <c r="J61" s="30">
        <f t="shared" si="8"/>
        <v>2390965.5</v>
      </c>
      <c r="K61" s="30">
        <f t="shared" si="9"/>
        <v>1523.88</v>
      </c>
      <c r="L61" s="39">
        <f t="shared" si="10"/>
        <v>0.78375987</v>
      </c>
      <c r="M61" s="29">
        <f t="shared" si="11"/>
        <v>30</v>
      </c>
      <c r="N61" s="30">
        <f>+'Table 7 Local Revenue'!AL60</f>
        <v>1829726.5</v>
      </c>
      <c r="O61" s="30">
        <f t="shared" si="12"/>
        <v>1166.17</v>
      </c>
      <c r="P61" s="32">
        <f t="shared" si="13"/>
        <v>0.765264</v>
      </c>
      <c r="Q61" s="29">
        <f t="shared" si="14"/>
        <v>55</v>
      </c>
    </row>
    <row r="62" spans="1:17" ht="12.75">
      <c r="A62" s="42">
        <v>55</v>
      </c>
      <c r="B62" s="43" t="s">
        <v>55</v>
      </c>
      <c r="C62" s="572">
        <f>+'Table 3 Levels 1&amp;2'!U62</f>
        <v>26611</v>
      </c>
      <c r="D62" s="44">
        <f>ROUND('Table 7 Local Revenue'!$AB$74*'Table 7 Local Revenue'!F61/1000,0)</f>
        <v>15618111</v>
      </c>
      <c r="E62" s="44">
        <f t="shared" si="5"/>
        <v>586.9</v>
      </c>
      <c r="F62" s="44">
        <f>ROUND('Table 7 Local Revenue'!$AD$74*'Table 7 Local Revenue'!AH61,0)</f>
        <v>30358378</v>
      </c>
      <c r="G62" s="44">
        <f t="shared" si="6"/>
        <v>1140.82</v>
      </c>
      <c r="H62" s="44">
        <f>'Table 7 Local Revenue'!AK61</f>
        <v>353983</v>
      </c>
      <c r="I62" s="44">
        <f t="shared" si="7"/>
        <v>13.3</v>
      </c>
      <c r="J62" s="44">
        <f t="shared" si="8"/>
        <v>46330472</v>
      </c>
      <c r="K62" s="44">
        <f t="shared" si="9"/>
        <v>1741.03</v>
      </c>
      <c r="L62" s="50">
        <f t="shared" si="10"/>
        <v>0.89544417</v>
      </c>
      <c r="M62" s="43">
        <f t="shared" si="11"/>
        <v>21</v>
      </c>
      <c r="N62" s="44">
        <f>+'Table 7 Local Revenue'!AL61</f>
        <v>37460954</v>
      </c>
      <c r="O62" s="44">
        <f t="shared" si="12"/>
        <v>1407.72</v>
      </c>
      <c r="P62" s="45">
        <f t="shared" si="13"/>
        <v>0.808556</v>
      </c>
      <c r="Q62" s="43">
        <f t="shared" si="14"/>
        <v>51</v>
      </c>
    </row>
    <row r="63" spans="1:17" ht="12.75">
      <c r="A63" s="28">
        <v>56</v>
      </c>
      <c r="B63" s="29" t="s">
        <v>56</v>
      </c>
      <c r="C63" s="571">
        <f>+'Table 3 Levels 1&amp;2'!U63</f>
        <v>4932</v>
      </c>
      <c r="D63" s="30">
        <f>ROUND('Table 7 Local Revenue'!$AB$74*'Table 7 Local Revenue'!F62/1000,0)</f>
        <v>2965693</v>
      </c>
      <c r="E63" s="30">
        <f t="shared" si="5"/>
        <v>601.32</v>
      </c>
      <c r="F63" s="30">
        <f>ROUND('Table 7 Local Revenue'!$AD$74*'Table 7 Local Revenue'!AH62,0)</f>
        <v>3521979</v>
      </c>
      <c r="G63" s="30">
        <f t="shared" si="6"/>
        <v>714.11</v>
      </c>
      <c r="H63" s="30">
        <f>'Table 7 Local Revenue'!AK62</f>
        <v>155888</v>
      </c>
      <c r="I63" s="30">
        <f t="shared" si="7"/>
        <v>31.61</v>
      </c>
      <c r="J63" s="30">
        <f t="shared" si="8"/>
        <v>6643560</v>
      </c>
      <c r="K63" s="30">
        <f t="shared" si="9"/>
        <v>1347.03</v>
      </c>
      <c r="L63" s="39">
        <f t="shared" si="10"/>
        <v>0.69280263</v>
      </c>
      <c r="M63" s="29">
        <f t="shared" si="11"/>
        <v>40</v>
      </c>
      <c r="N63" s="30">
        <f>+'Table 7 Local Revenue'!AL62</f>
        <v>4974366</v>
      </c>
      <c r="O63" s="30">
        <f t="shared" si="12"/>
        <v>1008.59</v>
      </c>
      <c r="P63" s="32">
        <f t="shared" si="13"/>
        <v>0.748751</v>
      </c>
      <c r="Q63" s="29">
        <f t="shared" si="14"/>
        <v>56</v>
      </c>
    </row>
    <row r="64" spans="1:17" ht="12.75">
      <c r="A64" s="28">
        <v>57</v>
      </c>
      <c r="B64" s="29" t="s">
        <v>57</v>
      </c>
      <c r="C64" s="571">
        <f>+'Table 3 Levels 1&amp;2'!U64</f>
        <v>11855</v>
      </c>
      <c r="D64" s="30">
        <f>ROUND('Table 7 Local Revenue'!$AB$74*'Table 7 Local Revenue'!F63/1000,0)</f>
        <v>7789497</v>
      </c>
      <c r="E64" s="30">
        <f t="shared" si="5"/>
        <v>657.06</v>
      </c>
      <c r="F64" s="30">
        <f>ROUND('Table 7 Local Revenue'!$AD$74*'Table 7 Local Revenue'!AH63,0)</f>
        <v>10511833</v>
      </c>
      <c r="G64" s="30">
        <f t="shared" si="6"/>
        <v>886.7</v>
      </c>
      <c r="H64" s="30">
        <f>'Table 7 Local Revenue'!AK63</f>
        <v>1875333</v>
      </c>
      <c r="I64" s="30">
        <f t="shared" si="7"/>
        <v>158.19</v>
      </c>
      <c r="J64" s="30">
        <f t="shared" si="8"/>
        <v>20176663</v>
      </c>
      <c r="K64" s="30">
        <f t="shared" si="9"/>
        <v>1701.95</v>
      </c>
      <c r="L64" s="39">
        <f t="shared" si="10"/>
        <v>0.87534459</v>
      </c>
      <c r="M64" s="29">
        <f t="shared" si="11"/>
        <v>25</v>
      </c>
      <c r="N64" s="30">
        <f>+'Table 7 Local Revenue'!AL63</f>
        <v>14895201</v>
      </c>
      <c r="O64" s="30">
        <f t="shared" si="12"/>
        <v>1256.45</v>
      </c>
      <c r="P64" s="32">
        <f t="shared" si="13"/>
        <v>0.738241</v>
      </c>
      <c r="Q64" s="29">
        <f t="shared" si="14"/>
        <v>57</v>
      </c>
    </row>
    <row r="65" spans="1:17" ht="12.75">
      <c r="A65" s="28">
        <v>58</v>
      </c>
      <c r="B65" s="29" t="s">
        <v>58</v>
      </c>
      <c r="C65" s="571">
        <f>+'Table 3 Levels 1&amp;2'!U65</f>
        <v>12727</v>
      </c>
      <c r="D65" s="30">
        <f>ROUND('Table 7 Local Revenue'!$AB$74*'Table 7 Local Revenue'!F64/1000,0)</f>
        <v>3387392</v>
      </c>
      <c r="E65" s="30">
        <f t="shared" si="5"/>
        <v>266.16</v>
      </c>
      <c r="F65" s="30">
        <f>ROUND('Table 7 Local Revenue'!$AD$74*'Table 7 Local Revenue'!AH64,0)</f>
        <v>6788124</v>
      </c>
      <c r="G65" s="30">
        <f t="shared" si="6"/>
        <v>533.36</v>
      </c>
      <c r="H65" s="30">
        <f>'Table 7 Local Revenue'!AK64</f>
        <v>588611</v>
      </c>
      <c r="I65" s="30">
        <f t="shared" si="7"/>
        <v>46.25</v>
      </c>
      <c r="J65" s="30">
        <f t="shared" si="8"/>
        <v>10764127</v>
      </c>
      <c r="K65" s="30">
        <f t="shared" si="9"/>
        <v>845.77</v>
      </c>
      <c r="L65" s="39">
        <f t="shared" si="10"/>
        <v>0.43499527</v>
      </c>
      <c r="M65" s="29">
        <f t="shared" si="11"/>
        <v>62</v>
      </c>
      <c r="N65" s="30">
        <f>+'Table 7 Local Revenue'!AL64</f>
        <v>11022624</v>
      </c>
      <c r="O65" s="30">
        <f t="shared" si="12"/>
        <v>866.08</v>
      </c>
      <c r="P65" s="32">
        <f t="shared" si="13"/>
        <v>1.024014</v>
      </c>
      <c r="Q65" s="29">
        <f t="shared" si="14"/>
        <v>25</v>
      </c>
    </row>
    <row r="66" spans="1:17" ht="12.75">
      <c r="A66" s="28">
        <v>59</v>
      </c>
      <c r="B66" s="29" t="s">
        <v>59</v>
      </c>
      <c r="C66" s="571">
        <f>+'Table 3 Levels 1&amp;2'!U66</f>
        <v>6839</v>
      </c>
      <c r="D66" s="30">
        <f>ROUND('Table 7 Local Revenue'!$AB$74*'Table 7 Local Revenue'!F65/1000,0)</f>
        <v>1972095</v>
      </c>
      <c r="E66" s="30">
        <f t="shared" si="5"/>
        <v>288.36</v>
      </c>
      <c r="F66" s="30">
        <f>ROUND('Table 7 Local Revenue'!$AD$74*'Table 7 Local Revenue'!AH65,0)</f>
        <v>3244964</v>
      </c>
      <c r="G66" s="30">
        <f t="shared" si="6"/>
        <v>474.48</v>
      </c>
      <c r="H66" s="30">
        <f>'Table 7 Local Revenue'!AK65</f>
        <v>145040</v>
      </c>
      <c r="I66" s="30">
        <f t="shared" si="7"/>
        <v>21.21</v>
      </c>
      <c r="J66" s="30">
        <f t="shared" si="8"/>
        <v>5362099</v>
      </c>
      <c r="K66" s="30">
        <f t="shared" si="9"/>
        <v>784.05</v>
      </c>
      <c r="L66" s="39">
        <f t="shared" si="10"/>
        <v>0.40325152</v>
      </c>
      <c r="M66" s="29">
        <f t="shared" si="11"/>
        <v>65</v>
      </c>
      <c r="N66" s="30">
        <f>+'Table 7 Local Revenue'!AL65</f>
        <v>5185829</v>
      </c>
      <c r="O66" s="30">
        <f t="shared" si="12"/>
        <v>758.27</v>
      </c>
      <c r="P66" s="32">
        <f t="shared" si="13"/>
        <v>0.967119</v>
      </c>
      <c r="Q66" s="29">
        <f t="shared" si="14"/>
        <v>40</v>
      </c>
    </row>
    <row r="67" spans="1:17" ht="12.75">
      <c r="A67" s="42">
        <v>60</v>
      </c>
      <c r="B67" s="43" t="s">
        <v>60</v>
      </c>
      <c r="C67" s="572">
        <f>+'Table 3 Levels 1&amp;2'!U67</f>
        <v>9956</v>
      </c>
      <c r="D67" s="44">
        <f>ROUND('Table 7 Local Revenue'!$AB$74*'Table 7 Local Revenue'!F66/1000,0)</f>
        <v>4930390</v>
      </c>
      <c r="E67" s="44">
        <f t="shared" si="5"/>
        <v>495.22</v>
      </c>
      <c r="F67" s="44">
        <f>ROUND('Table 7 Local Revenue'!$AD$74*'Table 7 Local Revenue'!AH66,0)</f>
        <v>8269334</v>
      </c>
      <c r="G67" s="44">
        <f t="shared" si="6"/>
        <v>830.59</v>
      </c>
      <c r="H67" s="44">
        <f>'Table 7 Local Revenue'!AK66</f>
        <v>424025</v>
      </c>
      <c r="I67" s="44">
        <f t="shared" si="7"/>
        <v>42.59</v>
      </c>
      <c r="J67" s="44">
        <f t="shared" si="8"/>
        <v>13623749</v>
      </c>
      <c r="K67" s="44">
        <f t="shared" si="9"/>
        <v>1368.4</v>
      </c>
      <c r="L67" s="50">
        <f t="shared" si="10"/>
        <v>0.70379361</v>
      </c>
      <c r="M67" s="43">
        <f t="shared" si="11"/>
        <v>38</v>
      </c>
      <c r="N67" s="44">
        <f>+'Table 7 Local Revenue'!AL66</f>
        <v>13939755</v>
      </c>
      <c r="O67" s="44">
        <f t="shared" si="12"/>
        <v>1400.14</v>
      </c>
      <c r="P67" s="45">
        <f t="shared" si="13"/>
        <v>1.023195</v>
      </c>
      <c r="Q67" s="43">
        <f t="shared" si="14"/>
        <v>27</v>
      </c>
    </row>
    <row r="68" spans="1:17" ht="12.75">
      <c r="A68" s="28">
        <v>61</v>
      </c>
      <c r="B68" s="29" t="s">
        <v>61</v>
      </c>
      <c r="C68" s="571">
        <f>+'Table 3 Levels 1&amp;2'!U68</f>
        <v>5083</v>
      </c>
      <c r="D68" s="30">
        <f>ROUND('Table 7 Local Revenue'!$AB$74*'Table 7 Local Revenue'!F67/1000,0)</f>
        <v>7385373</v>
      </c>
      <c r="E68" s="30">
        <f t="shared" si="5"/>
        <v>1452.96</v>
      </c>
      <c r="F68" s="30">
        <f>ROUND('Table 7 Local Revenue'!$AD$74*'Table 7 Local Revenue'!AH67,0)</f>
        <v>6482103</v>
      </c>
      <c r="G68" s="30">
        <f t="shared" si="6"/>
        <v>1275.25</v>
      </c>
      <c r="H68" s="30">
        <f>'Table 7 Local Revenue'!AK67</f>
        <v>125531</v>
      </c>
      <c r="I68" s="30">
        <f t="shared" si="7"/>
        <v>24.7</v>
      </c>
      <c r="J68" s="30">
        <f t="shared" si="8"/>
        <v>13993007</v>
      </c>
      <c r="K68" s="30">
        <f t="shared" si="9"/>
        <v>2752.9</v>
      </c>
      <c r="L68" s="39">
        <f t="shared" si="10"/>
        <v>1.41586776</v>
      </c>
      <c r="M68" s="29">
        <f t="shared" si="11"/>
        <v>9</v>
      </c>
      <c r="N68" s="30">
        <f>+'Table 7 Local Revenue'!AL67</f>
        <v>12145304</v>
      </c>
      <c r="O68" s="30">
        <f t="shared" si="12"/>
        <v>2389.4</v>
      </c>
      <c r="P68" s="32">
        <f t="shared" si="13"/>
        <v>0.867957</v>
      </c>
      <c r="Q68" s="29">
        <f t="shared" si="14"/>
        <v>49</v>
      </c>
    </row>
    <row r="69" spans="1:17" ht="12.75">
      <c r="A69" s="28">
        <v>62</v>
      </c>
      <c r="B69" s="29" t="s">
        <v>62</v>
      </c>
      <c r="C69" s="571">
        <f>+'Table 3 Levels 1&amp;2'!U69</f>
        <v>3477</v>
      </c>
      <c r="D69" s="30">
        <f>ROUND('Table 7 Local Revenue'!$AB$74*'Table 7 Local Revenue'!F68/1000,0)</f>
        <v>1446187</v>
      </c>
      <c r="E69" s="30">
        <f t="shared" si="5"/>
        <v>415.93</v>
      </c>
      <c r="F69" s="30">
        <f>ROUND('Table 7 Local Revenue'!$AD$74*'Table 7 Local Revenue'!AH68,0)</f>
        <v>1750256</v>
      </c>
      <c r="G69" s="30">
        <f t="shared" si="6"/>
        <v>503.38</v>
      </c>
      <c r="H69" s="30">
        <f>'Table 7 Local Revenue'!AK68</f>
        <v>112522</v>
      </c>
      <c r="I69" s="30">
        <f t="shared" si="7"/>
        <v>32.36</v>
      </c>
      <c r="J69" s="30">
        <f t="shared" si="8"/>
        <v>3308965</v>
      </c>
      <c r="K69" s="30">
        <f t="shared" si="9"/>
        <v>951.67</v>
      </c>
      <c r="L69" s="39">
        <f t="shared" si="10"/>
        <v>0.48946161</v>
      </c>
      <c r="M69" s="29">
        <f t="shared" si="11"/>
        <v>60</v>
      </c>
      <c r="N69" s="30">
        <f>+'Table 7 Local Revenue'!AL68</f>
        <v>1967897</v>
      </c>
      <c r="O69" s="30">
        <f t="shared" si="12"/>
        <v>565.98</v>
      </c>
      <c r="P69" s="32">
        <f t="shared" si="13"/>
        <v>0.594723</v>
      </c>
      <c r="Q69" s="29">
        <f t="shared" si="14"/>
        <v>64</v>
      </c>
    </row>
    <row r="70" spans="1:17" ht="12.75">
      <c r="A70" s="28">
        <v>63</v>
      </c>
      <c r="B70" s="29" t="s">
        <v>63</v>
      </c>
      <c r="C70" s="571">
        <f>+'Table 3 Levels 1&amp;2'!U70</f>
        <v>3366</v>
      </c>
      <c r="D70" s="30">
        <f>ROUND('Table 7 Local Revenue'!$AB$74*'Table 7 Local Revenue'!F69/1000,0)</f>
        <v>11710198</v>
      </c>
      <c r="E70" s="30">
        <f t="shared" si="5"/>
        <v>3478.97</v>
      </c>
      <c r="F70" s="30">
        <f>ROUND('Table 7 Local Revenue'!$AD$74*'Table 7 Local Revenue'!AH69,0)</f>
        <v>2602630</v>
      </c>
      <c r="G70" s="30">
        <f t="shared" si="6"/>
        <v>773.21</v>
      </c>
      <c r="H70" s="30">
        <f>'Table 7 Local Revenue'!AK69</f>
        <v>54382.5</v>
      </c>
      <c r="I70" s="30">
        <f t="shared" si="7"/>
        <v>16.16</v>
      </c>
      <c r="J70" s="30">
        <f t="shared" si="8"/>
        <v>14367210.5</v>
      </c>
      <c r="K70" s="30">
        <f t="shared" si="9"/>
        <v>4268.33</v>
      </c>
      <c r="L70" s="39">
        <f t="shared" si="10"/>
        <v>2.19528164</v>
      </c>
      <c r="M70" s="29">
        <f t="shared" si="11"/>
        <v>2</v>
      </c>
      <c r="N70" s="30">
        <f>+'Table 7 Local Revenue'!AL69</f>
        <v>9166142.5</v>
      </c>
      <c r="O70" s="30">
        <f t="shared" si="12"/>
        <v>2723.16</v>
      </c>
      <c r="P70" s="32">
        <f t="shared" si="13"/>
        <v>0.637992</v>
      </c>
      <c r="Q70" s="29">
        <f t="shared" si="14"/>
        <v>62</v>
      </c>
    </row>
    <row r="71" spans="1:17" ht="12.75">
      <c r="A71" s="28">
        <v>64</v>
      </c>
      <c r="B71" s="29" t="s">
        <v>64</v>
      </c>
      <c r="C71" s="571">
        <f>+'Table 3 Levels 1&amp;2'!U71</f>
        <v>4061</v>
      </c>
      <c r="D71" s="30">
        <f>ROUND('Table 7 Local Revenue'!$AB$74*'Table 7 Local Revenue'!F70/1000,0)</f>
        <v>1860726</v>
      </c>
      <c r="E71" s="30">
        <f t="shared" si="5"/>
        <v>458.19</v>
      </c>
      <c r="F71" s="30">
        <f>ROUND('Table 7 Local Revenue'!$AD$74*'Table 7 Local Revenue'!AH70,0)</f>
        <v>2842317</v>
      </c>
      <c r="G71" s="30">
        <f t="shared" si="6"/>
        <v>699.91</v>
      </c>
      <c r="H71" s="30">
        <f>'Table 7 Local Revenue'!AK70</f>
        <v>486248.5</v>
      </c>
      <c r="I71" s="30">
        <f t="shared" si="7"/>
        <v>119.74</v>
      </c>
      <c r="J71" s="30">
        <f t="shared" si="8"/>
        <v>5189291.5</v>
      </c>
      <c r="K71" s="30">
        <f t="shared" si="9"/>
        <v>1277.84</v>
      </c>
      <c r="L71" s="39">
        <f t="shared" si="10"/>
        <v>0.65721692</v>
      </c>
      <c r="M71" s="29">
        <f t="shared" si="11"/>
        <v>41</v>
      </c>
      <c r="N71" s="30">
        <f>+'Table 7 Local Revenue'!AL70</f>
        <v>5816973.5</v>
      </c>
      <c r="O71" s="30">
        <f t="shared" si="12"/>
        <v>1432.4</v>
      </c>
      <c r="P71" s="32">
        <f t="shared" si="13"/>
        <v>1.120954</v>
      </c>
      <c r="Q71" s="29">
        <f t="shared" si="14"/>
        <v>16</v>
      </c>
    </row>
    <row r="72" spans="1:17" ht="12.75">
      <c r="A72" s="28">
        <v>65</v>
      </c>
      <c r="B72" s="29" t="s">
        <v>65</v>
      </c>
      <c r="C72" s="571">
        <f>+'Table 3 Levels 1&amp;2'!U72</f>
        <v>13049</v>
      </c>
      <c r="D72" s="30">
        <f>ROUND('Table 7 Local Revenue'!$AB$74*'Table 7 Local Revenue'!F71/1000,0)</f>
        <v>11394394</v>
      </c>
      <c r="E72" s="30">
        <f t="shared" si="5"/>
        <v>873.2</v>
      </c>
      <c r="F72" s="30">
        <f>ROUND('Table 7 Local Revenue'!$AD$74*'Table 7 Local Revenue'!AH71,0)</f>
        <v>21180940</v>
      </c>
      <c r="G72" s="30">
        <f t="shared" si="6"/>
        <v>1623.18</v>
      </c>
      <c r="H72" s="30">
        <f>'Table 7 Local Revenue'!AK71</f>
        <v>322768</v>
      </c>
      <c r="I72" s="30">
        <f t="shared" si="7"/>
        <v>24.74</v>
      </c>
      <c r="J72" s="30">
        <f t="shared" si="8"/>
        <v>32898102</v>
      </c>
      <c r="K72" s="30">
        <f t="shared" si="9"/>
        <v>2521.12</v>
      </c>
      <c r="L72" s="39">
        <f>ROUND(K72/K$75,8)</f>
        <v>1.29665899</v>
      </c>
      <c r="M72" s="29">
        <f>RANK(L72,L$8:L$73,0)</f>
        <v>11</v>
      </c>
      <c r="N72" s="30">
        <f>+'Table 7 Local Revenue'!AL71</f>
        <v>33300815</v>
      </c>
      <c r="O72" s="30">
        <f>ROUND(N72/C72,2)</f>
        <v>2551.98</v>
      </c>
      <c r="P72" s="32">
        <f>ROUND(O72/K72,6)</f>
        <v>1.012241</v>
      </c>
      <c r="Q72" s="29">
        <f>RANK(P72,P$8:P$73,0)</f>
        <v>29</v>
      </c>
    </row>
    <row r="73" spans="1:17" ht="12.75">
      <c r="A73" s="28">
        <v>66</v>
      </c>
      <c r="B73" s="29" t="s">
        <v>66</v>
      </c>
      <c r="C73" s="571">
        <f>+'Table 3 Levels 1&amp;2'!U73</f>
        <v>4782</v>
      </c>
      <c r="D73" s="30">
        <f>ROUND('Table 7 Local Revenue'!$AB$74*'Table 7 Local Revenue'!F72/1000,0)</f>
        <v>2222968</v>
      </c>
      <c r="E73" s="30">
        <f>ROUND(D73/C73,2)</f>
        <v>464.86</v>
      </c>
      <c r="F73" s="30">
        <f>ROUND('Table 7 Local Revenue'!$AD$74*'Table 7 Local Revenue'!AH72,0)</f>
        <v>4167888</v>
      </c>
      <c r="G73" s="30">
        <f>ROUND(F73/C73,2)</f>
        <v>871.58</v>
      </c>
      <c r="H73" s="30">
        <f>'Table 7 Local Revenue'!AK72</f>
        <v>241839</v>
      </c>
      <c r="I73" s="30">
        <f>ROUND(H73/C73,2)</f>
        <v>50.57</v>
      </c>
      <c r="J73" s="30">
        <f>H73+F73+D73</f>
        <v>6632695</v>
      </c>
      <c r="K73" s="30">
        <f>ROUND(J73/C73,2)</f>
        <v>1387.01</v>
      </c>
      <c r="L73" s="39">
        <f>ROUND(K73/K$75,8)</f>
        <v>0.71336508</v>
      </c>
      <c r="M73" s="29">
        <f>RANK(L73,L$8:L$73,0)</f>
        <v>37</v>
      </c>
      <c r="N73" s="30">
        <f>+'Table 7 Local Revenue'!AL72</f>
        <v>5111109</v>
      </c>
      <c r="O73" s="30">
        <f>ROUND(N73/C73,2)</f>
        <v>1068.82</v>
      </c>
      <c r="P73" s="32">
        <f>ROUND(O73/K73,6)</f>
        <v>0.770593</v>
      </c>
      <c r="Q73" s="29">
        <f>RANK(P73,P$8:P$73,0)</f>
        <v>54</v>
      </c>
    </row>
    <row r="74" spans="1:17" ht="12.75">
      <c r="A74" s="24"/>
      <c r="B74" s="25"/>
      <c r="C74" s="25"/>
      <c r="D74" s="37"/>
      <c r="E74" s="37"/>
      <c r="F74" s="37"/>
      <c r="G74" s="37"/>
      <c r="H74" s="37"/>
      <c r="I74" s="37"/>
      <c r="J74" s="25"/>
      <c r="K74" s="37"/>
      <c r="L74" s="39"/>
      <c r="M74" s="25"/>
      <c r="N74" s="37"/>
      <c r="O74" s="37"/>
      <c r="P74" s="41"/>
      <c r="Q74" s="25"/>
    </row>
    <row r="75" spans="1:17" ht="13.5" thickBot="1">
      <c r="A75" s="38"/>
      <c r="B75" s="116" t="s">
        <v>67</v>
      </c>
      <c r="C75" s="134">
        <f>SUM(C8:C73)</f>
        <v>966724</v>
      </c>
      <c r="D75" s="118">
        <f>SUM(D8:D73)</f>
        <v>732227724</v>
      </c>
      <c r="E75" s="118">
        <f>ROUND(D75/C75,2)</f>
        <v>757.43</v>
      </c>
      <c r="F75" s="118">
        <f>SUM(F8:F73)</f>
        <v>1111447570</v>
      </c>
      <c r="G75" s="118">
        <f>ROUND(F75/C75,2)</f>
        <v>1149.71</v>
      </c>
      <c r="H75" s="118">
        <f>SUM(H8:H73)</f>
        <v>35947553</v>
      </c>
      <c r="I75" s="118">
        <f>ROUND(H75/C75,2)</f>
        <v>37.18</v>
      </c>
      <c r="J75" s="117">
        <f>SUM(J8:J73)</f>
        <v>1879622847</v>
      </c>
      <c r="K75" s="118">
        <f>ROUND(J75/C75,2)</f>
        <v>1944.32</v>
      </c>
      <c r="L75" s="133">
        <f>ROUND(K75/K$75,8)</f>
        <v>1</v>
      </c>
      <c r="M75" s="116"/>
      <c r="N75" s="118">
        <f>SUM(N8:N73)</f>
        <v>1879935205</v>
      </c>
      <c r="O75" s="118">
        <f>ROUND(N75/C75,2)</f>
        <v>1944.65</v>
      </c>
      <c r="P75" s="160">
        <f>ROUND(O75/K75,6)</f>
        <v>1.00017</v>
      </c>
      <c r="Q75" s="116"/>
    </row>
    <row r="76" spans="13:14" ht="13.5" thickTop="1">
      <c r="M76" s="98"/>
      <c r="N76" s="223"/>
    </row>
  </sheetData>
  <mergeCells count="7">
    <mergeCell ref="O4:Q4"/>
    <mergeCell ref="C1:H1"/>
    <mergeCell ref="P1:Q2"/>
    <mergeCell ref="D4:G4"/>
    <mergeCell ref="H4:H5"/>
    <mergeCell ref="J4:M4"/>
    <mergeCell ref="N4:N5"/>
  </mergeCells>
  <printOptions/>
  <pageMargins left="0.48" right="0.29" top="1" bottom="0.38" header="0.21" footer="0.18"/>
  <pageSetup firstPageNumber="14" useFirstPageNumber="1" horizontalDpi="600" verticalDpi="600" orientation="portrait" paperSize="5" scale="85" r:id="rId1"/>
  <headerFooter alignWithMargins="0">
    <oddHeader>&amp;L&amp;"Arial,Bold"&amp;18TABLE 6: 2002-03 LOCAL WEALTH FACTOR</oddHeader>
    <oddFooter>&amp;L&amp;12&amp;F\ &amp;A&amp;R&amp;12&amp;P</oddFooter>
  </headerFooter>
  <colBreaks count="1" manualBreakCount="1">
    <brk id="9" min="7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74"/>
  <sheetViews>
    <sheetView zoomScale="85" zoomScaleNormal="85" workbookViewId="0" topLeftCell="A1">
      <selection activeCell="AN13" sqref="AN13"/>
    </sheetView>
  </sheetViews>
  <sheetFormatPr defaultColWidth="9.140625" defaultRowHeight="12.75"/>
  <cols>
    <col min="1" max="1" width="5.00390625" style="0" customWidth="1"/>
    <col min="2" max="2" width="20.57421875" style="0" bestFit="1" customWidth="1"/>
    <col min="3" max="3" width="0.9921875" style="0" customWidth="1"/>
    <col min="4" max="6" width="16.7109375" style="0" customWidth="1"/>
    <col min="7" max="7" width="11.57421875" style="0" bestFit="1" customWidth="1"/>
    <col min="8" max="8" width="16.00390625" style="0" bestFit="1" customWidth="1"/>
    <col min="9" max="9" width="11.57421875" style="0" bestFit="1" customWidth="1"/>
    <col min="10" max="10" width="12.8515625" style="0" bestFit="1" customWidth="1"/>
    <col min="11" max="12" width="9.57421875" style="0" bestFit="1" customWidth="1"/>
    <col min="13" max="13" width="7.140625" style="0" customWidth="1"/>
    <col min="14" max="14" width="13.8515625" style="0" bestFit="1" customWidth="1"/>
    <col min="15" max="15" width="18.57421875" style="0" customWidth="1"/>
    <col min="16" max="16" width="9.8515625" style="0" bestFit="1" customWidth="1"/>
    <col min="17" max="17" width="11.8515625" style="0" bestFit="1" customWidth="1"/>
    <col min="18" max="19" width="9.00390625" style="0" bestFit="1" customWidth="1"/>
    <col min="20" max="20" width="7.28125" style="0" customWidth="1"/>
    <col min="21" max="21" width="13.421875" style="0" bestFit="1" customWidth="1"/>
    <col min="22" max="22" width="15.00390625" style="0" customWidth="1"/>
    <col min="23" max="23" width="13.421875" style="0" bestFit="1" customWidth="1"/>
    <col min="24" max="24" width="16.421875" style="0" bestFit="1" customWidth="1"/>
    <col min="25" max="25" width="17.140625" style="0" bestFit="1" customWidth="1"/>
    <col min="26" max="26" width="13.00390625" style="0" customWidth="1"/>
    <col min="27" max="27" width="15.00390625" style="0" bestFit="1" customWidth="1"/>
    <col min="28" max="28" width="13.57421875" style="0" customWidth="1"/>
    <col min="29" max="29" width="14.7109375" style="0" customWidth="1"/>
    <col min="30" max="30" width="11.00390625" style="0" customWidth="1"/>
    <col min="31" max="31" width="15.28125" style="0" customWidth="1"/>
    <col min="32" max="32" width="14.140625" style="0" customWidth="1"/>
    <col min="33" max="33" width="15.57421875" style="0" customWidth="1"/>
    <col min="34" max="34" width="17.00390625" style="0" customWidth="1"/>
    <col min="35" max="35" width="6.421875" style="0" bestFit="1" customWidth="1"/>
    <col min="36" max="36" width="7.7109375" style="0" customWidth="1"/>
    <col min="37" max="38" width="16.7109375" style="0" customWidth="1"/>
  </cols>
  <sheetData>
    <row r="1" spans="1:38" ht="18" customHeight="1">
      <c r="A1" s="157"/>
      <c r="B1" s="461"/>
      <c r="D1" s="513"/>
      <c r="E1" s="494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638"/>
      <c r="AD1" s="622"/>
      <c r="AE1" s="2"/>
      <c r="AF1" s="2"/>
      <c r="AG1" s="2"/>
      <c r="AH1" s="2"/>
      <c r="AI1" s="2"/>
      <c r="AJ1" s="2"/>
      <c r="AK1" s="323"/>
      <c r="AL1" s="2"/>
    </row>
    <row r="2" spans="1:38" ht="1.5" customHeight="1" hidden="1">
      <c r="A2" s="157"/>
      <c r="D2" s="749" t="s">
        <v>596</v>
      </c>
      <c r="E2" s="750"/>
      <c r="F2" s="454" t="s">
        <v>597</v>
      </c>
      <c r="G2" s="461" t="s">
        <v>598</v>
      </c>
      <c r="H2" s="461" t="s">
        <v>599</v>
      </c>
      <c r="I2" s="461" t="s">
        <v>600</v>
      </c>
      <c r="J2" s="461" t="s">
        <v>601</v>
      </c>
      <c r="K2" s="461" t="s">
        <v>602</v>
      </c>
      <c r="L2" s="461" t="s">
        <v>603</v>
      </c>
      <c r="M2" s="461" t="s">
        <v>604</v>
      </c>
      <c r="N2" s="461" t="s">
        <v>605</v>
      </c>
      <c r="O2" s="623" t="s">
        <v>593</v>
      </c>
      <c r="P2" s="461" t="s">
        <v>606</v>
      </c>
      <c r="Q2" s="461" t="s">
        <v>607</v>
      </c>
      <c r="R2" s="461" t="s">
        <v>608</v>
      </c>
      <c r="S2" s="461" t="s">
        <v>609</v>
      </c>
      <c r="T2" s="461" t="s">
        <v>610</v>
      </c>
      <c r="U2" s="461" t="s">
        <v>611</v>
      </c>
      <c r="V2" s="623" t="s">
        <v>594</v>
      </c>
      <c r="W2" s="623" t="s">
        <v>612</v>
      </c>
      <c r="X2" s="623" t="s">
        <v>613</v>
      </c>
      <c r="Y2" s="623" t="s">
        <v>614</v>
      </c>
      <c r="Z2" s="623" t="s">
        <v>615</v>
      </c>
      <c r="AA2" s="623" t="s">
        <v>616</v>
      </c>
      <c r="AB2" s="623" t="s">
        <v>619</v>
      </c>
      <c r="AC2" s="522" t="s">
        <v>618</v>
      </c>
      <c r="AD2" s="522" t="s">
        <v>620</v>
      </c>
      <c r="AE2" s="516" t="s">
        <v>307</v>
      </c>
      <c r="AF2" s="515" t="s">
        <v>308</v>
      </c>
      <c r="AG2" s="522" t="s">
        <v>622</v>
      </c>
      <c r="AH2" s="522" t="s">
        <v>623</v>
      </c>
      <c r="AI2" s="623" t="s">
        <v>624</v>
      </c>
      <c r="AJ2" s="623" t="s">
        <v>625</v>
      </c>
      <c r="AK2" s="634" t="s">
        <v>626</v>
      </c>
      <c r="AL2" s="561" t="s">
        <v>538</v>
      </c>
    </row>
    <row r="3" spans="1:38" ht="34.5" customHeight="1" thickBot="1">
      <c r="A3" s="276"/>
      <c r="B3" s="292"/>
      <c r="C3" s="284"/>
      <c r="D3" s="755" t="s">
        <v>592</v>
      </c>
      <c r="E3" s="756"/>
      <c r="F3" s="757"/>
      <c r="G3" s="758" t="s">
        <v>207</v>
      </c>
      <c r="H3" s="759"/>
      <c r="I3" s="736" t="s">
        <v>208</v>
      </c>
      <c r="J3" s="737"/>
      <c r="K3" s="737"/>
      <c r="L3" s="737"/>
      <c r="M3" s="737"/>
      <c r="N3" s="738"/>
      <c r="O3" s="751" t="s">
        <v>91</v>
      </c>
      <c r="P3" s="736" t="s">
        <v>78</v>
      </c>
      <c r="Q3" s="737"/>
      <c r="R3" s="737"/>
      <c r="S3" s="737"/>
      <c r="T3" s="737"/>
      <c r="U3" s="738"/>
      <c r="V3" s="751" t="s">
        <v>595</v>
      </c>
      <c r="W3" s="736" t="s">
        <v>633</v>
      </c>
      <c r="X3" s="737"/>
      <c r="Y3" s="737"/>
      <c r="Z3" s="737"/>
      <c r="AA3" s="737"/>
      <c r="AB3" s="737"/>
      <c r="AC3" s="751" t="s">
        <v>617</v>
      </c>
      <c r="AD3" s="736" t="s">
        <v>92</v>
      </c>
      <c r="AE3" s="737"/>
      <c r="AF3" s="737"/>
      <c r="AG3" s="751" t="s">
        <v>621</v>
      </c>
      <c r="AH3" s="736" t="s">
        <v>96</v>
      </c>
      <c r="AI3" s="737"/>
      <c r="AJ3" s="738"/>
      <c r="AK3" s="753" t="s">
        <v>440</v>
      </c>
      <c r="AL3" s="650"/>
    </row>
    <row r="4" spans="1:38" ht="54.75" customHeight="1">
      <c r="A4" s="281" t="s">
        <v>272</v>
      </c>
      <c r="B4" s="282" t="s">
        <v>103</v>
      </c>
      <c r="C4" s="283"/>
      <c r="D4" s="275" t="s">
        <v>81</v>
      </c>
      <c r="E4" s="377" t="s">
        <v>82</v>
      </c>
      <c r="F4" s="275" t="s">
        <v>83</v>
      </c>
      <c r="G4" s="137" t="s">
        <v>84</v>
      </c>
      <c r="H4" s="137" t="s">
        <v>85</v>
      </c>
      <c r="I4" s="137" t="s">
        <v>84</v>
      </c>
      <c r="J4" s="137" t="s">
        <v>85</v>
      </c>
      <c r="K4" s="137" t="s">
        <v>303</v>
      </c>
      <c r="L4" s="137" t="s">
        <v>304</v>
      </c>
      <c r="M4" s="137" t="s">
        <v>305</v>
      </c>
      <c r="N4" s="137" t="s">
        <v>306</v>
      </c>
      <c r="O4" s="752"/>
      <c r="P4" s="137" t="s">
        <v>84</v>
      </c>
      <c r="Q4" s="137" t="s">
        <v>85</v>
      </c>
      <c r="R4" s="137" t="s">
        <v>86</v>
      </c>
      <c r="S4" s="137" t="s">
        <v>87</v>
      </c>
      <c r="T4" s="137" t="s">
        <v>305</v>
      </c>
      <c r="U4" s="137" t="s">
        <v>88</v>
      </c>
      <c r="V4" s="752"/>
      <c r="W4" s="137" t="s">
        <v>414</v>
      </c>
      <c r="X4" s="137" t="s">
        <v>89</v>
      </c>
      <c r="Y4" s="137" t="s">
        <v>90</v>
      </c>
      <c r="Z4" s="137" t="s">
        <v>437</v>
      </c>
      <c r="AA4" s="137" t="s">
        <v>438</v>
      </c>
      <c r="AB4" s="382" t="s">
        <v>439</v>
      </c>
      <c r="AC4" s="752"/>
      <c r="AD4" s="330" t="s">
        <v>93</v>
      </c>
      <c r="AE4" s="139" t="s">
        <v>94</v>
      </c>
      <c r="AF4" s="379" t="s">
        <v>95</v>
      </c>
      <c r="AG4" s="752"/>
      <c r="AH4" s="381" t="s">
        <v>96</v>
      </c>
      <c r="AI4" s="138" t="s">
        <v>97</v>
      </c>
      <c r="AJ4" s="138" t="s">
        <v>98</v>
      </c>
      <c r="AK4" s="754"/>
      <c r="AL4" s="651" t="s">
        <v>577</v>
      </c>
    </row>
    <row r="5" spans="1:38" ht="12.75">
      <c r="A5" s="236"/>
      <c r="B5" s="273"/>
      <c r="C5" s="274"/>
      <c r="D5" s="142" t="s">
        <v>122</v>
      </c>
      <c r="E5" s="332" t="s">
        <v>309</v>
      </c>
      <c r="F5" s="517" t="s">
        <v>123</v>
      </c>
      <c r="G5" s="331" t="s">
        <v>124</v>
      </c>
      <c r="H5" s="142" t="s">
        <v>125</v>
      </c>
      <c r="I5" s="142" t="s">
        <v>126</v>
      </c>
      <c r="J5" s="142" t="s">
        <v>127</v>
      </c>
      <c r="K5" s="142" t="s">
        <v>128</v>
      </c>
      <c r="L5" s="142" t="s">
        <v>129</v>
      </c>
      <c r="M5" s="142" t="s">
        <v>130</v>
      </c>
      <c r="N5" s="142" t="s">
        <v>131</v>
      </c>
      <c r="O5" s="142" t="s">
        <v>132</v>
      </c>
      <c r="P5" s="142" t="s">
        <v>205</v>
      </c>
      <c r="Q5" s="142" t="s">
        <v>283</v>
      </c>
      <c r="R5" s="142" t="s">
        <v>284</v>
      </c>
      <c r="S5" s="142" t="s">
        <v>206</v>
      </c>
      <c r="T5" s="142" t="s">
        <v>285</v>
      </c>
      <c r="U5" s="142" t="s">
        <v>286</v>
      </c>
      <c r="V5" s="142" t="s">
        <v>287</v>
      </c>
      <c r="W5" s="142" t="s">
        <v>288</v>
      </c>
      <c r="X5" s="142" t="s">
        <v>289</v>
      </c>
      <c r="Y5" s="142" t="s">
        <v>290</v>
      </c>
      <c r="Z5" s="142" t="s">
        <v>291</v>
      </c>
      <c r="AA5" s="142" t="s">
        <v>209</v>
      </c>
      <c r="AB5" s="332" t="s">
        <v>210</v>
      </c>
      <c r="AC5" s="142" t="s">
        <v>211</v>
      </c>
      <c r="AD5" s="331" t="s">
        <v>292</v>
      </c>
      <c r="AE5" s="142" t="s">
        <v>293</v>
      </c>
      <c r="AF5" s="332" t="s">
        <v>294</v>
      </c>
      <c r="AG5" s="518" t="s">
        <v>295</v>
      </c>
      <c r="AH5" s="331" t="s">
        <v>296</v>
      </c>
      <c r="AI5" s="142" t="s">
        <v>297</v>
      </c>
      <c r="AJ5" s="142" t="s">
        <v>298</v>
      </c>
      <c r="AK5" s="332" t="s">
        <v>270</v>
      </c>
      <c r="AL5" s="674" t="s">
        <v>299</v>
      </c>
    </row>
    <row r="6" spans="1:39" ht="12.75">
      <c r="A6" s="20"/>
      <c r="B6" s="265"/>
      <c r="C6" s="261"/>
      <c r="D6" s="25"/>
      <c r="E6" s="260"/>
      <c r="F6" s="25"/>
      <c r="G6" s="261"/>
      <c r="H6" s="103"/>
      <c r="I6" s="25"/>
      <c r="J6" s="103"/>
      <c r="K6" s="25"/>
      <c r="L6" s="25"/>
      <c r="M6" s="25"/>
      <c r="N6" s="103"/>
      <c r="O6" s="25"/>
      <c r="P6" s="25"/>
      <c r="Q6" s="103"/>
      <c r="R6" s="25"/>
      <c r="S6" s="25"/>
      <c r="T6" s="25"/>
      <c r="U6" s="103"/>
      <c r="V6" s="25"/>
      <c r="W6" s="25"/>
      <c r="X6" s="25"/>
      <c r="Y6" s="25"/>
      <c r="Z6" s="25"/>
      <c r="AA6" s="25"/>
      <c r="AB6" s="260"/>
      <c r="AC6" s="514"/>
      <c r="AD6" s="558"/>
      <c r="AE6" s="105"/>
      <c r="AF6" s="380"/>
      <c r="AG6" s="519"/>
      <c r="AH6" s="21"/>
      <c r="AI6" s="25"/>
      <c r="AJ6" s="25"/>
      <c r="AK6" s="265"/>
      <c r="AL6" s="675"/>
      <c r="AM6" s="96"/>
    </row>
    <row r="7" spans="1:40" ht="12.75">
      <c r="A7" s="28">
        <v>1</v>
      </c>
      <c r="B7" s="266" t="s">
        <v>2</v>
      </c>
      <c r="C7" s="262"/>
      <c r="D7" s="30">
        <f>'[2]2001 Property Assessments'!C6</f>
        <v>201788530</v>
      </c>
      <c r="E7" s="30">
        <f>'[2]2001 Property Assessments'!D6</f>
        <v>53327550</v>
      </c>
      <c r="F7" s="30">
        <f>'[2]2001 Property Assessments'!E6</f>
        <v>148460980</v>
      </c>
      <c r="G7" s="457">
        <f>'[2]Ad Valorem Taxes'!C6</f>
        <v>5.14</v>
      </c>
      <c r="H7" s="313">
        <f>'[2]Ad Valorem Taxes'!D6</f>
        <v>748044</v>
      </c>
      <c r="I7" s="325">
        <f>'[2]Ad Valorem Taxes'!E6</f>
        <v>20.03</v>
      </c>
      <c r="J7" s="313">
        <f>'[2]Ad Valorem Taxes'!F6</f>
        <v>2914318</v>
      </c>
      <c r="K7" s="324">
        <f>'[2]Ad Valorem Taxes'!G6</f>
        <v>0</v>
      </c>
      <c r="L7" s="324">
        <f>'[2]Ad Valorem Taxes'!H6</f>
        <v>13.45</v>
      </c>
      <c r="M7" s="324">
        <f>'[2]Ad Valorem Taxes'!I6</f>
        <v>1</v>
      </c>
      <c r="N7" s="313">
        <f>'[2]Ad Valorem Taxes'!J6</f>
        <v>141785</v>
      </c>
      <c r="O7" s="30">
        <f>H7+J7+N7</f>
        <v>3804147</v>
      </c>
      <c r="P7" s="324">
        <f>'[2]Ad Valorem Taxes'!L6</f>
        <v>0</v>
      </c>
      <c r="Q7" s="313">
        <f>'[2]Ad Valorem Taxes'!M6</f>
        <v>0</v>
      </c>
      <c r="R7" s="324">
        <f>'[2]Ad Valorem Taxes'!N6</f>
        <v>0</v>
      </c>
      <c r="S7" s="324">
        <f>'[2]Ad Valorem Taxes'!O6</f>
        <v>32</v>
      </c>
      <c r="T7" s="326">
        <f>'[2]Ad Valorem Taxes'!P6</f>
        <v>5</v>
      </c>
      <c r="U7" s="313">
        <f>'[2]Ad Valorem Taxes'!Q6</f>
        <v>1187855</v>
      </c>
      <c r="V7" s="30">
        <f>Q7+U7</f>
        <v>1187855</v>
      </c>
      <c r="W7" s="53">
        <f>G7+I7+P7</f>
        <v>25.17</v>
      </c>
      <c r="X7" s="30">
        <f>H7+J7+Q7</f>
        <v>3662362</v>
      </c>
      <c r="Y7" s="30">
        <f>N7+U7</f>
        <v>1329640</v>
      </c>
      <c r="Z7" s="161">
        <f>(V7/F7)*1000</f>
        <v>8.001125952421976</v>
      </c>
      <c r="AA7" s="383">
        <f>(O7/F7)*1000</f>
        <v>25.623884471192362</v>
      </c>
      <c r="AB7" s="624">
        <f>(AC7/F7)*1000</f>
        <v>33.62501042361434</v>
      </c>
      <c r="AC7" s="313">
        <f>O7+V7</f>
        <v>4992002</v>
      </c>
      <c r="AD7" s="626">
        <f>'[2]Sales Taxes'!C8</f>
        <v>0.01</v>
      </c>
      <c r="AE7" s="628">
        <f>'[2]Sales Taxes'!D8</f>
        <v>7160065</v>
      </c>
      <c r="AF7" s="629">
        <f>'[2]Sales Taxes'!E8</f>
        <v>0</v>
      </c>
      <c r="AG7" s="313">
        <f>AE7+AF7</f>
        <v>7160065</v>
      </c>
      <c r="AH7" s="313">
        <f>ROUND('Table 7 Local Revenue'!AG7/AD7,0)</f>
        <v>716006500</v>
      </c>
      <c r="AI7" s="632">
        <f>AE7/AH7</f>
        <v>0.01</v>
      </c>
      <c r="AJ7" s="632">
        <f>AF7/AH7</f>
        <v>0</v>
      </c>
      <c r="AK7" s="671">
        <f>'[2]Other Revenue'!N8</f>
        <v>374433.5</v>
      </c>
      <c r="AL7" s="555">
        <f>+AK7+AG7+AC7</f>
        <v>12526500.5</v>
      </c>
      <c r="AM7" s="96"/>
      <c r="AN7" s="96"/>
    </row>
    <row r="8" spans="1:38" ht="12.75">
      <c r="A8" s="28">
        <v>2</v>
      </c>
      <c r="B8" s="266" t="s">
        <v>3</v>
      </c>
      <c r="C8" s="262"/>
      <c r="D8" s="30">
        <f>'[2]2001 Property Assessments'!C7</f>
        <v>82749715</v>
      </c>
      <c r="E8" s="30">
        <f>'[2]2001 Property Assessments'!D7</f>
        <v>20609940</v>
      </c>
      <c r="F8" s="30">
        <f>'[2]2001 Property Assessments'!E7</f>
        <v>62139775</v>
      </c>
      <c r="G8" s="457">
        <f>'[2]Ad Valorem Taxes'!C7</f>
        <v>4.26</v>
      </c>
      <c r="H8" s="313">
        <f>'[2]Ad Valorem Taxes'!D7</f>
        <v>250147</v>
      </c>
      <c r="I8" s="325">
        <f>'[2]Ad Valorem Taxes'!E7</f>
        <v>5.13</v>
      </c>
      <c r="J8" s="313">
        <f>'[2]Ad Valorem Taxes'!F7</f>
        <v>301233</v>
      </c>
      <c r="K8" s="324">
        <f>'[2]Ad Valorem Taxes'!G7</f>
        <v>12.37</v>
      </c>
      <c r="L8" s="324">
        <f>'[2]Ad Valorem Taxes'!H7</f>
        <v>68.22</v>
      </c>
      <c r="M8" s="324">
        <f>'[2]Ad Valorem Taxes'!I7</f>
        <v>6</v>
      </c>
      <c r="N8" s="313">
        <f>'[2]Ad Valorem Taxes'!J7</f>
        <v>1137753</v>
      </c>
      <c r="O8" s="30">
        <f aca="true" t="shared" si="0" ref="O8:O71">H8+J8+N8</f>
        <v>1689133</v>
      </c>
      <c r="P8" s="324">
        <f>'[2]Ad Valorem Taxes'!L7</f>
        <v>0</v>
      </c>
      <c r="Q8" s="313">
        <f>'[2]Ad Valorem Taxes'!M7</f>
        <v>0</v>
      </c>
      <c r="R8" s="324">
        <f>'[2]Ad Valorem Taxes'!N7</f>
        <v>9.2</v>
      </c>
      <c r="S8" s="324">
        <f>'[2]Ad Valorem Taxes'!O7</f>
        <v>34</v>
      </c>
      <c r="T8" s="326">
        <f>'[2]Ad Valorem Taxes'!P7</f>
        <v>6</v>
      </c>
      <c r="U8" s="313">
        <f>'[2]Ad Valorem Taxes'!Q7</f>
        <v>1313281</v>
      </c>
      <c r="V8" s="30">
        <f aca="true" t="shared" si="1" ref="V8:V71">Q8+U8</f>
        <v>1313281</v>
      </c>
      <c r="W8" s="53">
        <f aca="true" t="shared" si="2" ref="W8:W71">G8+I8+P8</f>
        <v>9.39</v>
      </c>
      <c r="X8" s="30">
        <f aca="true" t="shared" si="3" ref="X8:X72">H8+J8+Q8</f>
        <v>551380</v>
      </c>
      <c r="Y8" s="30">
        <f aca="true" t="shared" si="4" ref="Y8:Y72">N8+U8</f>
        <v>2451034</v>
      </c>
      <c r="Z8" s="161">
        <f aca="true" t="shared" si="5" ref="Z8:Z72">(V8/F8)*1000</f>
        <v>21.134305684241696</v>
      </c>
      <c r="AA8" s="383">
        <f aca="true" t="shared" si="6" ref="AA8:AA72">(O8/F8)*1000</f>
        <v>27.18279877904289</v>
      </c>
      <c r="AB8" s="624">
        <f aca="true" t="shared" si="7" ref="AB8:AB71">(AC8/F8)*1000</f>
        <v>48.317104463284586</v>
      </c>
      <c r="AC8" s="313">
        <f aca="true" t="shared" si="8" ref="AC8:AC71">O8+V8</f>
        <v>3002414</v>
      </c>
      <c r="AD8" s="626">
        <f>'[2]Sales Taxes'!C9</f>
        <v>0.02</v>
      </c>
      <c r="AE8" s="628">
        <f>'[2]Sales Taxes'!D9</f>
        <v>3741866</v>
      </c>
      <c r="AF8" s="629">
        <f>'[2]Sales Taxes'!E9</f>
        <v>0</v>
      </c>
      <c r="AG8" s="313">
        <f aca="true" t="shared" si="9" ref="AG8:AG71">AE8+AF8</f>
        <v>3741866</v>
      </c>
      <c r="AH8" s="313">
        <f>ROUND('Table 7 Local Revenue'!AG8/AD8,0)</f>
        <v>187093300</v>
      </c>
      <c r="AI8" s="632">
        <f aca="true" t="shared" si="10" ref="AI8:AI71">AE8/AH8</f>
        <v>0.02</v>
      </c>
      <c r="AJ8" s="632">
        <f aca="true" t="shared" si="11" ref="AJ8:AJ71">AF8/AH8</f>
        <v>0</v>
      </c>
      <c r="AK8" s="671">
        <f>'[2]Other Revenue'!N9</f>
        <v>102209</v>
      </c>
      <c r="AL8" s="555">
        <f aca="true" t="shared" si="12" ref="AL8:AL71">+AK8+AG8+AC8</f>
        <v>6846489</v>
      </c>
    </row>
    <row r="9" spans="1:38" ht="12.75">
      <c r="A9" s="28">
        <v>3</v>
      </c>
      <c r="B9" s="266" t="s">
        <v>4</v>
      </c>
      <c r="C9" s="262"/>
      <c r="D9" s="30">
        <f>'[2]2001 Property Assessments'!C8</f>
        <v>550728010</v>
      </c>
      <c r="E9" s="30">
        <f>'[2]2001 Property Assessments'!D8</f>
        <v>111623560</v>
      </c>
      <c r="F9" s="30">
        <f>'[2]2001 Property Assessments'!E8</f>
        <v>439104450</v>
      </c>
      <c r="G9" s="457">
        <f>'[2]Ad Valorem Taxes'!C8</f>
        <v>3.61</v>
      </c>
      <c r="H9" s="313">
        <f>'[2]Ad Valorem Taxes'!D8</f>
        <v>1498885</v>
      </c>
      <c r="I9" s="325">
        <f>'[2]Ad Valorem Taxes'!E8</f>
        <v>34.15</v>
      </c>
      <c r="J9" s="313">
        <f>'[2]Ad Valorem Taxes'!F8</f>
        <v>14178773</v>
      </c>
      <c r="K9" s="324">
        <f>'[2]Ad Valorem Taxes'!G8</f>
        <v>2.43</v>
      </c>
      <c r="L9" s="324">
        <f>'[2]Ad Valorem Taxes'!H8</f>
        <v>20.43</v>
      </c>
      <c r="M9" s="324">
        <f>'[2]Ad Valorem Taxes'!I8</f>
        <v>0</v>
      </c>
      <c r="N9" s="313">
        <f>'[2]Ad Valorem Taxes'!J8</f>
        <v>0</v>
      </c>
      <c r="O9" s="30">
        <f t="shared" si="0"/>
        <v>15677658</v>
      </c>
      <c r="P9" s="324">
        <f>'[2]Ad Valorem Taxes'!L8</f>
        <v>15.08</v>
      </c>
      <c r="Q9" s="313">
        <f>'[2]Ad Valorem Taxes'!M8</f>
        <v>6261429</v>
      </c>
      <c r="R9" s="324">
        <f>'[2]Ad Valorem Taxes'!N8</f>
        <v>15.08</v>
      </c>
      <c r="S9" s="324">
        <f>'[2]Ad Valorem Taxes'!O8</f>
        <v>15.08</v>
      </c>
      <c r="T9" s="326">
        <f>'[2]Ad Valorem Taxes'!P8</f>
        <v>0</v>
      </c>
      <c r="U9" s="313">
        <f>'[2]Ad Valorem Taxes'!Q8</f>
        <v>0</v>
      </c>
      <c r="V9" s="30">
        <f t="shared" si="1"/>
        <v>6261429</v>
      </c>
      <c r="W9" s="53">
        <f t="shared" si="2"/>
        <v>52.839999999999996</v>
      </c>
      <c r="X9" s="30">
        <f t="shared" si="3"/>
        <v>21939087</v>
      </c>
      <c r="Y9" s="30">
        <f t="shared" si="4"/>
        <v>0</v>
      </c>
      <c r="Z9" s="161">
        <f t="shared" si="5"/>
        <v>14.259543486748996</v>
      </c>
      <c r="AA9" s="383">
        <f t="shared" si="6"/>
        <v>35.70371013092671</v>
      </c>
      <c r="AB9" s="624">
        <f t="shared" si="7"/>
        <v>49.963253617675704</v>
      </c>
      <c r="AC9" s="313">
        <f t="shared" si="8"/>
        <v>21939087</v>
      </c>
      <c r="AD9" s="626">
        <f>'[2]Sales Taxes'!C10</f>
        <v>0.02</v>
      </c>
      <c r="AE9" s="628">
        <f>'[2]Sales Taxes'!D10</f>
        <v>31673888</v>
      </c>
      <c r="AF9" s="629">
        <f>'[2]Sales Taxes'!E10</f>
        <v>0</v>
      </c>
      <c r="AG9" s="313">
        <f t="shared" si="9"/>
        <v>31673888</v>
      </c>
      <c r="AH9" s="313">
        <f>ROUND('Table 7 Local Revenue'!AG9/AD9,0)</f>
        <v>1583694400</v>
      </c>
      <c r="AI9" s="632">
        <f t="shared" si="10"/>
        <v>0.02</v>
      </c>
      <c r="AJ9" s="632">
        <f t="shared" si="11"/>
        <v>0</v>
      </c>
      <c r="AK9" s="671">
        <f>'[2]Other Revenue'!N10</f>
        <v>158097.5</v>
      </c>
      <c r="AL9" s="555">
        <f t="shared" si="12"/>
        <v>53771072.5</v>
      </c>
    </row>
    <row r="10" spans="1:38" ht="12.75">
      <c r="A10" s="28">
        <v>4</v>
      </c>
      <c r="B10" s="266" t="s">
        <v>5</v>
      </c>
      <c r="C10" s="262"/>
      <c r="D10" s="30">
        <f>'[2]2001 Property Assessments'!C9</f>
        <v>94314900</v>
      </c>
      <c r="E10" s="30">
        <f>'[2]2001 Property Assessments'!D9</f>
        <v>24747360</v>
      </c>
      <c r="F10" s="30">
        <f>'[2]2001 Property Assessments'!E9</f>
        <v>69567540</v>
      </c>
      <c r="G10" s="457">
        <f>'[2]Ad Valorem Taxes'!C9</f>
        <v>5.45</v>
      </c>
      <c r="H10" s="313">
        <f>'[2]Ad Valorem Taxes'!D9</f>
        <v>360986</v>
      </c>
      <c r="I10" s="325">
        <f>'[2]Ad Valorem Taxes'!E9</f>
        <v>33.63</v>
      </c>
      <c r="J10" s="313">
        <f>'[2]Ad Valorem Taxes'!F9</f>
        <v>2227521</v>
      </c>
      <c r="K10" s="324">
        <f>'[2]Ad Valorem Taxes'!G9</f>
        <v>0</v>
      </c>
      <c r="L10" s="324">
        <f>'[2]Ad Valorem Taxes'!H9</f>
        <v>0</v>
      </c>
      <c r="M10" s="324">
        <f>'[2]Ad Valorem Taxes'!I9</f>
        <v>0</v>
      </c>
      <c r="N10" s="313">
        <f>'[2]Ad Valorem Taxes'!J9</f>
        <v>0</v>
      </c>
      <c r="O10" s="30">
        <f t="shared" si="0"/>
        <v>2588507</v>
      </c>
      <c r="P10" s="324">
        <f>'[2]Ad Valorem Taxes'!L9</f>
        <v>4</v>
      </c>
      <c r="Q10" s="313">
        <f>'[2]Ad Valorem Taxes'!M9</f>
        <v>264946</v>
      </c>
      <c r="R10" s="324">
        <f>'[2]Ad Valorem Taxes'!N9</f>
        <v>0</v>
      </c>
      <c r="S10" s="324">
        <f>'[2]Ad Valorem Taxes'!O9</f>
        <v>0</v>
      </c>
      <c r="T10" s="326">
        <f>'[2]Ad Valorem Taxes'!P9</f>
        <v>0</v>
      </c>
      <c r="U10" s="313">
        <f>'[2]Ad Valorem Taxes'!Q9</f>
        <v>0</v>
      </c>
      <c r="V10" s="30">
        <f t="shared" si="1"/>
        <v>264946</v>
      </c>
      <c r="W10" s="53">
        <f t="shared" si="2"/>
        <v>43.080000000000005</v>
      </c>
      <c r="X10" s="30">
        <f t="shared" si="3"/>
        <v>2853453</v>
      </c>
      <c r="Y10" s="30">
        <f t="shared" si="4"/>
        <v>0</v>
      </c>
      <c r="Z10" s="161">
        <f t="shared" si="5"/>
        <v>3.8084715946546335</v>
      </c>
      <c r="AA10" s="383">
        <f t="shared" si="6"/>
        <v>37.20854582467628</v>
      </c>
      <c r="AB10" s="624">
        <f t="shared" si="7"/>
        <v>41.01701741933091</v>
      </c>
      <c r="AC10" s="313">
        <f t="shared" si="8"/>
        <v>2853453</v>
      </c>
      <c r="AD10" s="626">
        <f>'[2]Sales Taxes'!C11</f>
        <v>0.025</v>
      </c>
      <c r="AE10" s="628">
        <f>'[2]Sales Taxes'!D11</f>
        <v>4215085</v>
      </c>
      <c r="AF10" s="629">
        <f>'[2]Sales Taxes'!E11</f>
        <v>1053799</v>
      </c>
      <c r="AG10" s="313">
        <f t="shared" si="9"/>
        <v>5268884</v>
      </c>
      <c r="AH10" s="313">
        <f>ROUND('Table 7 Local Revenue'!AG10/AD10,0)</f>
        <v>210755360</v>
      </c>
      <c r="AI10" s="632">
        <f t="shared" si="10"/>
        <v>0.0199998946646007</v>
      </c>
      <c r="AJ10" s="632">
        <f t="shared" si="11"/>
        <v>0.005000105335399299</v>
      </c>
      <c r="AK10" s="671">
        <f>'[2]Other Revenue'!N11</f>
        <v>185588</v>
      </c>
      <c r="AL10" s="555">
        <f t="shared" si="12"/>
        <v>8307925</v>
      </c>
    </row>
    <row r="11" spans="1:38" ht="12.75">
      <c r="A11" s="42">
        <v>5</v>
      </c>
      <c r="B11" s="267" t="s">
        <v>6</v>
      </c>
      <c r="C11" s="263"/>
      <c r="D11" s="44">
        <f>'[2]2001 Property Assessments'!C10</f>
        <v>113827710</v>
      </c>
      <c r="E11" s="44">
        <f>'[2]2001 Property Assessments'!D10</f>
        <v>46552290</v>
      </c>
      <c r="F11" s="44">
        <f>'[2]2001 Property Assessments'!E10</f>
        <v>67275420</v>
      </c>
      <c r="G11" s="458">
        <f>'[2]Ad Valorem Taxes'!C10</f>
        <v>3.32</v>
      </c>
      <c r="H11" s="315">
        <f>'[2]Ad Valorem Taxes'!D10</f>
        <v>227269</v>
      </c>
      <c r="I11" s="328">
        <f>'[2]Ad Valorem Taxes'!E10</f>
        <v>9.6</v>
      </c>
      <c r="J11" s="315">
        <f>'[2]Ad Valorem Taxes'!F10</f>
        <v>657010</v>
      </c>
      <c r="K11" s="327">
        <f>'[2]Ad Valorem Taxes'!G10</f>
        <v>0</v>
      </c>
      <c r="L11" s="327">
        <f>'[2]Ad Valorem Taxes'!H10</f>
        <v>0</v>
      </c>
      <c r="M11" s="327">
        <f>'[2]Ad Valorem Taxes'!I10</f>
        <v>0</v>
      </c>
      <c r="N11" s="315">
        <f>'[2]Ad Valorem Taxes'!J10</f>
        <v>0</v>
      </c>
      <c r="O11" s="44">
        <f t="shared" si="0"/>
        <v>884279</v>
      </c>
      <c r="P11" s="327">
        <f>'[2]Ad Valorem Taxes'!L10</f>
        <v>0</v>
      </c>
      <c r="Q11" s="315">
        <f>'[2]Ad Valorem Taxes'!M10</f>
        <v>0</v>
      </c>
      <c r="R11" s="327">
        <f>'[2]Ad Valorem Taxes'!N10</f>
        <v>4</v>
      </c>
      <c r="S11" s="327">
        <f>'[2]Ad Valorem Taxes'!O10</f>
        <v>16</v>
      </c>
      <c r="T11" s="329">
        <f>'[2]Ad Valorem Taxes'!P10</f>
        <v>7</v>
      </c>
      <c r="U11" s="315">
        <f>'[2]Ad Valorem Taxes'!Q10</f>
        <v>542661</v>
      </c>
      <c r="V11" s="44">
        <f t="shared" si="1"/>
        <v>542661</v>
      </c>
      <c r="W11" s="54">
        <f t="shared" si="2"/>
        <v>12.92</v>
      </c>
      <c r="X11" s="44">
        <f t="shared" si="3"/>
        <v>884279</v>
      </c>
      <c r="Y11" s="44">
        <f t="shared" si="4"/>
        <v>542661</v>
      </c>
      <c r="Z11" s="162">
        <f t="shared" si="5"/>
        <v>8.066259564042856</v>
      </c>
      <c r="AA11" s="552">
        <f t="shared" si="6"/>
        <v>13.144161716121578</v>
      </c>
      <c r="AB11" s="625">
        <f t="shared" si="7"/>
        <v>21.210421280164432</v>
      </c>
      <c r="AC11" s="315">
        <f t="shared" si="8"/>
        <v>1426940</v>
      </c>
      <c r="AD11" s="627">
        <f>'[2]Sales Taxes'!C12</f>
        <v>0.015</v>
      </c>
      <c r="AE11" s="630">
        <f>'[2]Sales Taxes'!D12</f>
        <v>4023041</v>
      </c>
      <c r="AF11" s="631">
        <f>'[2]Sales Taxes'!E12</f>
        <v>379692</v>
      </c>
      <c r="AG11" s="315">
        <f t="shared" si="9"/>
        <v>4402733</v>
      </c>
      <c r="AH11" s="315">
        <f>ROUND('Table 7 Local Revenue'!AG11/AD11,0)</f>
        <v>293515533</v>
      </c>
      <c r="AI11" s="633">
        <f t="shared" si="10"/>
        <v>0.013706398972758965</v>
      </c>
      <c r="AJ11" s="633">
        <f t="shared" si="11"/>
        <v>0.0012936010442759088</v>
      </c>
      <c r="AK11" s="672">
        <f>'[2]Other Revenue'!N12</f>
        <v>279532.5</v>
      </c>
      <c r="AL11" s="556">
        <f t="shared" si="12"/>
        <v>6109205.5</v>
      </c>
    </row>
    <row r="12" spans="1:38" ht="12.75">
      <c r="A12" s="28">
        <v>6</v>
      </c>
      <c r="B12" s="266" t="s">
        <v>7</v>
      </c>
      <c r="C12" s="262"/>
      <c r="D12" s="30">
        <f>'[2]2001 Property Assessments'!C11</f>
        <v>162035028</v>
      </c>
      <c r="E12" s="30">
        <f>'[2]2001 Property Assessments'!D11</f>
        <v>36577441</v>
      </c>
      <c r="F12" s="30">
        <f>'[2]2001 Property Assessments'!E11</f>
        <v>125457587</v>
      </c>
      <c r="G12" s="457">
        <f>'[2]Ad Valorem Taxes'!C11</f>
        <v>4.3</v>
      </c>
      <c r="H12" s="313">
        <f>'[2]Ad Valorem Taxes'!D11</f>
        <v>502074</v>
      </c>
      <c r="I12" s="325">
        <f>'[2]Ad Valorem Taxes'!E11</f>
        <v>27.05</v>
      </c>
      <c r="J12" s="313">
        <f>'[2]Ad Valorem Taxes'!F11</f>
        <v>3158397</v>
      </c>
      <c r="K12" s="324">
        <f>'[2]Ad Valorem Taxes'!G11</f>
        <v>0</v>
      </c>
      <c r="L12" s="324">
        <f>'[2]Ad Valorem Taxes'!H11</f>
        <v>0</v>
      </c>
      <c r="M12" s="324">
        <f>'[2]Ad Valorem Taxes'!I11</f>
        <v>0</v>
      </c>
      <c r="N12" s="313">
        <f>'[2]Ad Valorem Taxes'!J11</f>
        <v>0</v>
      </c>
      <c r="O12" s="30">
        <f t="shared" si="0"/>
        <v>3660471</v>
      </c>
      <c r="P12" s="324">
        <f>'[2]Ad Valorem Taxes'!L11</f>
        <v>17.8</v>
      </c>
      <c r="Q12" s="313">
        <f>'[2]Ad Valorem Taxes'!M11</f>
        <v>2078350</v>
      </c>
      <c r="R12" s="324">
        <f>'[2]Ad Valorem Taxes'!N11</f>
        <v>0</v>
      </c>
      <c r="S12" s="324">
        <f>'[2]Ad Valorem Taxes'!O11</f>
        <v>0</v>
      </c>
      <c r="T12" s="326">
        <f>'[2]Ad Valorem Taxes'!P11</f>
        <v>0</v>
      </c>
      <c r="U12" s="313">
        <f>'[2]Ad Valorem Taxes'!Q11</f>
        <v>0</v>
      </c>
      <c r="V12" s="30">
        <f t="shared" si="1"/>
        <v>2078350</v>
      </c>
      <c r="W12" s="53">
        <f t="shared" si="2"/>
        <v>49.150000000000006</v>
      </c>
      <c r="X12" s="30">
        <f t="shared" si="3"/>
        <v>5738821</v>
      </c>
      <c r="Y12" s="30">
        <f t="shared" si="4"/>
        <v>0</v>
      </c>
      <c r="Z12" s="161">
        <f t="shared" si="5"/>
        <v>16.56615633775899</v>
      </c>
      <c r="AA12" s="383">
        <f t="shared" si="6"/>
        <v>29.17696001916568</v>
      </c>
      <c r="AB12" s="624">
        <f t="shared" si="7"/>
        <v>45.74311635692467</v>
      </c>
      <c r="AC12" s="313">
        <f t="shared" si="8"/>
        <v>5738821</v>
      </c>
      <c r="AD12" s="626">
        <f>'[2]Sales Taxes'!C13</f>
        <v>0.02</v>
      </c>
      <c r="AE12" s="628">
        <f>'[2]Sales Taxes'!D13</f>
        <v>6625726</v>
      </c>
      <c r="AF12" s="629">
        <f>'[2]Sales Taxes'!E13</f>
        <v>0</v>
      </c>
      <c r="AG12" s="313">
        <f t="shared" si="9"/>
        <v>6625726</v>
      </c>
      <c r="AH12" s="313">
        <f>ROUND('Table 7 Local Revenue'!AG12/AD12,0)</f>
        <v>331286300</v>
      </c>
      <c r="AI12" s="632">
        <f t="shared" si="10"/>
        <v>0.02</v>
      </c>
      <c r="AJ12" s="632">
        <f t="shared" si="11"/>
        <v>0</v>
      </c>
      <c r="AK12" s="671">
        <f>'[2]Other Revenue'!N13</f>
        <v>292858</v>
      </c>
      <c r="AL12" s="555">
        <f t="shared" si="12"/>
        <v>12657405</v>
      </c>
    </row>
    <row r="13" spans="1:38" ht="12.75">
      <c r="A13" s="28">
        <v>7</v>
      </c>
      <c r="B13" s="266" t="s">
        <v>8</v>
      </c>
      <c r="C13" s="262"/>
      <c r="D13" s="30">
        <f>'[2]2001 Property Assessments'!C12</f>
        <v>127229240</v>
      </c>
      <c r="E13" s="30">
        <f>'[2]2001 Property Assessments'!D12</f>
        <v>11936810</v>
      </c>
      <c r="F13" s="30">
        <f>'[2]2001 Property Assessments'!E12</f>
        <v>115292430</v>
      </c>
      <c r="G13" s="457">
        <f>'[2]Ad Valorem Taxes'!C12</f>
        <v>6.23</v>
      </c>
      <c r="H13" s="313">
        <f>'[2]Ad Valorem Taxes'!D12</f>
        <v>668326</v>
      </c>
      <c r="I13" s="325">
        <f>'[2]Ad Valorem Taxes'!E12</f>
        <v>33.45</v>
      </c>
      <c r="J13" s="313">
        <f>'[2]Ad Valorem Taxes'!F12</f>
        <v>2921035</v>
      </c>
      <c r="K13" s="324">
        <f>'[2]Ad Valorem Taxes'!G12</f>
        <v>0</v>
      </c>
      <c r="L13" s="324">
        <f>'[2]Ad Valorem Taxes'!H12</f>
        <v>0</v>
      </c>
      <c r="M13" s="324">
        <f>'[2]Ad Valorem Taxes'!I12</f>
        <v>0</v>
      </c>
      <c r="N13" s="313">
        <f>'[2]Ad Valorem Taxes'!J12</f>
        <v>0</v>
      </c>
      <c r="O13" s="30">
        <f t="shared" si="0"/>
        <v>3589361</v>
      </c>
      <c r="P13" s="324">
        <f>'[2]Ad Valorem Taxes'!L12</f>
        <v>0</v>
      </c>
      <c r="Q13" s="313">
        <f>'[2]Ad Valorem Taxes'!M12</f>
        <v>0</v>
      </c>
      <c r="R13" s="324">
        <f>'[2]Ad Valorem Taxes'!N12</f>
        <v>4</v>
      </c>
      <c r="S13" s="324">
        <f>'[2]Ad Valorem Taxes'!O12</f>
        <v>59</v>
      </c>
      <c r="T13" s="326">
        <f>'[2]Ad Valorem Taxes'!P12</f>
        <v>7</v>
      </c>
      <c r="U13" s="313">
        <f>'[2]Ad Valorem Taxes'!Q12</f>
        <v>843407</v>
      </c>
      <c r="V13" s="30">
        <f t="shared" si="1"/>
        <v>843407</v>
      </c>
      <c r="W13" s="53">
        <f t="shared" si="2"/>
        <v>39.68000000000001</v>
      </c>
      <c r="X13" s="30">
        <f t="shared" si="3"/>
        <v>3589361</v>
      </c>
      <c r="Y13" s="30">
        <f t="shared" si="4"/>
        <v>843407</v>
      </c>
      <c r="Z13" s="161">
        <f t="shared" si="5"/>
        <v>7.315371876540376</v>
      </c>
      <c r="AA13" s="383">
        <f t="shared" si="6"/>
        <v>31.13266846747874</v>
      </c>
      <c r="AB13" s="624">
        <f t="shared" si="7"/>
        <v>38.44804034401911</v>
      </c>
      <c r="AC13" s="313">
        <f t="shared" si="8"/>
        <v>4432768</v>
      </c>
      <c r="AD13" s="626">
        <f>'[2]Sales Taxes'!C14</f>
        <v>0.02</v>
      </c>
      <c r="AE13" s="628">
        <f>'[2]Sales Taxes'!D14</f>
        <v>2964986</v>
      </c>
      <c r="AF13" s="629">
        <f>'[2]Sales Taxes'!E14</f>
        <v>0</v>
      </c>
      <c r="AG13" s="313">
        <f t="shared" si="9"/>
        <v>2964986</v>
      </c>
      <c r="AH13" s="313">
        <f>ROUND('Table 7 Local Revenue'!AG13/AD13,0)</f>
        <v>148249300</v>
      </c>
      <c r="AI13" s="632">
        <f t="shared" si="10"/>
        <v>0.02</v>
      </c>
      <c r="AJ13" s="632">
        <f t="shared" si="11"/>
        <v>0</v>
      </c>
      <c r="AK13" s="671">
        <f>'[2]Other Revenue'!N14</f>
        <v>153583.5</v>
      </c>
      <c r="AL13" s="555">
        <f t="shared" si="12"/>
        <v>7551337.5</v>
      </c>
    </row>
    <row r="14" spans="1:38" ht="12.75">
      <c r="A14" s="28">
        <v>8</v>
      </c>
      <c r="B14" s="266" t="s">
        <v>9</v>
      </c>
      <c r="C14" s="262"/>
      <c r="D14" s="30">
        <f>'[2]2001 Property Assessments'!C13</f>
        <v>489789300</v>
      </c>
      <c r="E14" s="30">
        <f>'[2]2001 Property Assessments'!D13</f>
        <v>120793260</v>
      </c>
      <c r="F14" s="30">
        <f>'[2]2001 Property Assessments'!E13</f>
        <v>368996040</v>
      </c>
      <c r="G14" s="457">
        <f>'[2]Ad Valorem Taxes'!C13</f>
        <v>4.22</v>
      </c>
      <c r="H14" s="313">
        <f>'[2]Ad Valorem Taxes'!D13</f>
        <v>1459720</v>
      </c>
      <c r="I14" s="325">
        <f>'[2]Ad Valorem Taxes'!E13</f>
        <v>45.72</v>
      </c>
      <c r="J14" s="313">
        <f>'[2]Ad Valorem Taxes'!F13</f>
        <v>15787364</v>
      </c>
      <c r="K14" s="324">
        <f>'[2]Ad Valorem Taxes'!G13</f>
        <v>0</v>
      </c>
      <c r="L14" s="324">
        <f>'[2]Ad Valorem Taxes'!H13</f>
        <v>0</v>
      </c>
      <c r="M14" s="324">
        <f>'[2]Ad Valorem Taxes'!I13</f>
        <v>0</v>
      </c>
      <c r="N14" s="313">
        <f>'[2]Ad Valorem Taxes'!J13</f>
        <v>0</v>
      </c>
      <c r="O14" s="30">
        <f t="shared" si="0"/>
        <v>17247084</v>
      </c>
      <c r="P14" s="324">
        <f>'[2]Ad Valorem Taxes'!L13</f>
        <v>0</v>
      </c>
      <c r="Q14" s="313">
        <f>'[2]Ad Valorem Taxes'!M13</f>
        <v>0</v>
      </c>
      <c r="R14" s="324">
        <f>'[2]Ad Valorem Taxes'!N13</f>
        <v>4.7</v>
      </c>
      <c r="S14" s="324">
        <f>'[2]Ad Valorem Taxes'!O13</f>
        <v>4.7</v>
      </c>
      <c r="T14" s="326">
        <f>'[2]Ad Valorem Taxes'!P13</f>
        <v>1</v>
      </c>
      <c r="U14" s="313">
        <f>'[2]Ad Valorem Taxes'!Q13</f>
        <v>1638687</v>
      </c>
      <c r="V14" s="30">
        <f t="shared" si="1"/>
        <v>1638687</v>
      </c>
      <c r="W14" s="53">
        <f t="shared" si="2"/>
        <v>49.94</v>
      </c>
      <c r="X14" s="30">
        <f t="shared" si="3"/>
        <v>17247084</v>
      </c>
      <c r="Y14" s="30">
        <f t="shared" si="4"/>
        <v>1638687</v>
      </c>
      <c r="Z14" s="161">
        <f t="shared" si="5"/>
        <v>4.440933837663949</v>
      </c>
      <c r="AA14" s="383">
        <f t="shared" si="6"/>
        <v>46.740566646731494</v>
      </c>
      <c r="AB14" s="624">
        <f t="shared" si="7"/>
        <v>51.18150048439544</v>
      </c>
      <c r="AC14" s="313">
        <f t="shared" si="8"/>
        <v>18885771</v>
      </c>
      <c r="AD14" s="626">
        <f>'[2]Sales Taxes'!C15</f>
        <v>0.015</v>
      </c>
      <c r="AE14" s="628">
        <f>'[2]Sales Taxes'!D15</f>
        <v>22450840</v>
      </c>
      <c r="AF14" s="629">
        <f>'[2]Sales Taxes'!E15</f>
        <v>0</v>
      </c>
      <c r="AG14" s="313">
        <f t="shared" si="9"/>
        <v>22450840</v>
      </c>
      <c r="AH14" s="313">
        <f>ROUND('Table 7 Local Revenue'!AG14/AD14,0)</f>
        <v>1496722667</v>
      </c>
      <c r="AI14" s="632">
        <f t="shared" si="10"/>
        <v>0.014999999996659368</v>
      </c>
      <c r="AJ14" s="632">
        <f t="shared" si="11"/>
        <v>0</v>
      </c>
      <c r="AK14" s="671">
        <f>'[2]Other Revenue'!N15</f>
        <v>565928.5</v>
      </c>
      <c r="AL14" s="555">
        <f t="shared" si="12"/>
        <v>41902539.5</v>
      </c>
    </row>
    <row r="15" spans="1:38" ht="12.75">
      <c r="A15" s="28">
        <v>9</v>
      </c>
      <c r="B15" s="266" t="s">
        <v>10</v>
      </c>
      <c r="C15" s="262"/>
      <c r="D15" s="30">
        <f>'[2]2001 Property Assessments'!C14</f>
        <v>1148501080</v>
      </c>
      <c r="E15" s="30">
        <f>'[2]2001 Property Assessments'!D14</f>
        <v>294524450</v>
      </c>
      <c r="F15" s="30">
        <f>'[2]2001 Property Assessments'!E14</f>
        <v>853976630</v>
      </c>
      <c r="G15" s="457">
        <f>'[2]Ad Valorem Taxes'!C14</f>
        <v>9.25</v>
      </c>
      <c r="H15" s="313">
        <f>'[2]Ad Valorem Taxes'!D14</f>
        <v>7441560</v>
      </c>
      <c r="I15" s="325">
        <f>'[2]Ad Valorem Taxes'!E14</f>
        <v>67.08</v>
      </c>
      <c r="J15" s="313">
        <f>'[2]Ad Valorem Taxes'!F14</f>
        <v>53966216</v>
      </c>
      <c r="K15" s="324">
        <f>'[2]Ad Valorem Taxes'!G14</f>
        <v>0</v>
      </c>
      <c r="L15" s="324">
        <f>'[2]Ad Valorem Taxes'!H14</f>
        <v>0</v>
      </c>
      <c r="M15" s="324">
        <f>'[2]Ad Valorem Taxes'!I14</f>
        <v>0</v>
      </c>
      <c r="N15" s="313">
        <f>'[2]Ad Valorem Taxes'!J14</f>
        <v>0</v>
      </c>
      <c r="O15" s="30">
        <f t="shared" si="0"/>
        <v>61407776</v>
      </c>
      <c r="P15" s="324">
        <f>'[2]Ad Valorem Taxes'!L14</f>
        <v>9.7</v>
      </c>
      <c r="Q15" s="313">
        <f>'[2]Ad Valorem Taxes'!M14</f>
        <v>7477616</v>
      </c>
      <c r="R15" s="324">
        <f>'[2]Ad Valorem Taxes'!N14</f>
        <v>0</v>
      </c>
      <c r="S15" s="324">
        <f>'[2]Ad Valorem Taxes'!O14</f>
        <v>0</v>
      </c>
      <c r="T15" s="326">
        <f>'[2]Ad Valorem Taxes'!P14</f>
        <v>0</v>
      </c>
      <c r="U15" s="313">
        <f>'[2]Ad Valorem Taxes'!Q14</f>
        <v>0</v>
      </c>
      <c r="V15" s="30">
        <f t="shared" si="1"/>
        <v>7477616</v>
      </c>
      <c r="W15" s="53">
        <f t="shared" si="2"/>
        <v>86.03</v>
      </c>
      <c r="X15" s="30">
        <f t="shared" si="3"/>
        <v>68885392</v>
      </c>
      <c r="Y15" s="30">
        <f t="shared" si="4"/>
        <v>0</v>
      </c>
      <c r="Z15" s="161">
        <f t="shared" si="5"/>
        <v>8.756230249532708</v>
      </c>
      <c r="AA15" s="383">
        <f t="shared" si="6"/>
        <v>71.90802867755292</v>
      </c>
      <c r="AB15" s="624">
        <f t="shared" si="7"/>
        <v>80.66425892708563</v>
      </c>
      <c r="AC15" s="313">
        <f t="shared" si="8"/>
        <v>68885392</v>
      </c>
      <c r="AD15" s="626">
        <f>'[2]Sales Taxes'!C16</f>
        <v>0.015</v>
      </c>
      <c r="AE15" s="628">
        <f>'[2]Sales Taxes'!D16</f>
        <v>51798848</v>
      </c>
      <c r="AF15" s="629">
        <f>'[2]Sales Taxes'!E16</f>
        <v>0</v>
      </c>
      <c r="AG15" s="313">
        <f t="shared" si="9"/>
        <v>51798848</v>
      </c>
      <c r="AH15" s="313">
        <f>ROUND('Table 7 Local Revenue'!AG15/AD15,0)</f>
        <v>3453256533</v>
      </c>
      <c r="AI15" s="632">
        <f t="shared" si="10"/>
        <v>0.015000000001447909</v>
      </c>
      <c r="AJ15" s="632">
        <f t="shared" si="11"/>
        <v>0</v>
      </c>
      <c r="AK15" s="671">
        <f>'[2]Other Revenue'!N16</f>
        <v>2342427</v>
      </c>
      <c r="AL15" s="555">
        <f t="shared" si="12"/>
        <v>123026667</v>
      </c>
    </row>
    <row r="16" spans="1:38" ht="12.75">
      <c r="A16" s="42">
        <v>10</v>
      </c>
      <c r="B16" s="267" t="s">
        <v>11</v>
      </c>
      <c r="C16" s="263"/>
      <c r="D16" s="44">
        <f>'[2]2001 Property Assessments'!C15</f>
        <v>1060298690</v>
      </c>
      <c r="E16" s="44">
        <f>'[2]2001 Property Assessments'!D15</f>
        <v>229886750</v>
      </c>
      <c r="F16" s="44">
        <f>'[2]2001 Property Assessments'!E15</f>
        <v>830411940</v>
      </c>
      <c r="G16" s="458">
        <f>'[2]Ad Valorem Taxes'!C15</f>
        <v>5.82</v>
      </c>
      <c r="H16" s="315">
        <f>'[2]Ad Valorem Taxes'!D15</f>
        <v>4784993</v>
      </c>
      <c r="I16" s="328">
        <f>'[2]Ad Valorem Taxes'!E15</f>
        <v>13.74</v>
      </c>
      <c r="J16" s="315">
        <f>'[2]Ad Valorem Taxes'!F15</f>
        <v>11296838</v>
      </c>
      <c r="K16" s="327">
        <f>'[2]Ad Valorem Taxes'!G15</f>
        <v>0</v>
      </c>
      <c r="L16" s="327">
        <f>'[2]Ad Valorem Taxes'!H15</f>
        <v>0</v>
      </c>
      <c r="M16" s="327">
        <f>'[2]Ad Valorem Taxes'!I15</f>
        <v>0</v>
      </c>
      <c r="N16" s="315">
        <f>'[2]Ad Valorem Taxes'!J15</f>
        <v>0</v>
      </c>
      <c r="O16" s="44">
        <f t="shared" si="0"/>
        <v>16081831</v>
      </c>
      <c r="P16" s="327">
        <f>'[2]Ad Valorem Taxes'!L15</f>
        <v>0</v>
      </c>
      <c r="Q16" s="315">
        <f>'[2]Ad Valorem Taxes'!M15</f>
        <v>0</v>
      </c>
      <c r="R16" s="327">
        <f>'[2]Ad Valorem Taxes'!N15</f>
        <v>11.5</v>
      </c>
      <c r="S16" s="327">
        <f>'[2]Ad Valorem Taxes'!O15</f>
        <v>55.5</v>
      </c>
      <c r="T16" s="329">
        <f>'[2]Ad Valorem Taxes'!P15</f>
        <v>10</v>
      </c>
      <c r="U16" s="315">
        <f>'[2]Ad Valorem Taxes'!Q15</f>
        <v>14175754</v>
      </c>
      <c r="V16" s="44">
        <f t="shared" si="1"/>
        <v>14175754</v>
      </c>
      <c r="W16" s="54">
        <f t="shared" si="2"/>
        <v>19.560000000000002</v>
      </c>
      <c r="X16" s="44">
        <f t="shared" si="3"/>
        <v>16081831</v>
      </c>
      <c r="Y16" s="44">
        <f t="shared" si="4"/>
        <v>14175754</v>
      </c>
      <c r="Z16" s="162">
        <f t="shared" si="5"/>
        <v>17.07074924765653</v>
      </c>
      <c r="AA16" s="552">
        <f t="shared" si="6"/>
        <v>19.366088353691058</v>
      </c>
      <c r="AB16" s="625">
        <f t="shared" si="7"/>
        <v>36.43683760134759</v>
      </c>
      <c r="AC16" s="315">
        <f t="shared" si="8"/>
        <v>30257585</v>
      </c>
      <c r="AD16" s="627">
        <f>'[2]Sales Taxes'!C17</f>
        <v>0.02</v>
      </c>
      <c r="AE16" s="630">
        <f>'[2]Sales Taxes'!D17</f>
        <v>64987583</v>
      </c>
      <c r="AF16" s="631">
        <f>'[2]Sales Taxes'!E17</f>
        <v>0</v>
      </c>
      <c r="AG16" s="315">
        <f t="shared" si="9"/>
        <v>64987583</v>
      </c>
      <c r="AH16" s="315">
        <f>ROUND('Table 7 Local Revenue'!AG16/AD16,0)</f>
        <v>3249379150</v>
      </c>
      <c r="AI16" s="633">
        <f t="shared" si="10"/>
        <v>0.02</v>
      </c>
      <c r="AJ16" s="633">
        <f t="shared" si="11"/>
        <v>0</v>
      </c>
      <c r="AK16" s="672">
        <f>'[2]Other Revenue'!N17</f>
        <v>1012782</v>
      </c>
      <c r="AL16" s="556">
        <f t="shared" si="12"/>
        <v>96257950</v>
      </c>
    </row>
    <row r="17" spans="1:38" ht="12.75">
      <c r="A17" s="28">
        <v>11</v>
      </c>
      <c r="B17" s="266" t="s">
        <v>12</v>
      </c>
      <c r="C17" s="262"/>
      <c r="D17" s="30">
        <f>'[2]2001 Property Assessments'!C16</f>
        <v>34810190</v>
      </c>
      <c r="E17" s="30">
        <f>'[2]2001 Property Assessments'!D16</f>
        <v>10297350</v>
      </c>
      <c r="F17" s="30">
        <f>'[2]2001 Property Assessments'!E16</f>
        <v>24512840</v>
      </c>
      <c r="G17" s="457">
        <f>'[2]Ad Valorem Taxes'!C16</f>
        <v>5.12</v>
      </c>
      <c r="H17" s="313">
        <f>'[2]Ad Valorem Taxes'!D16</f>
        <v>124683</v>
      </c>
      <c r="I17" s="325">
        <f>'[2]Ad Valorem Taxes'!E16</f>
        <v>31.34</v>
      </c>
      <c r="J17" s="313">
        <f>'[2]Ad Valorem Taxes'!F16</f>
        <v>765912</v>
      </c>
      <c r="K17" s="324">
        <f>'[2]Ad Valorem Taxes'!G16</f>
        <v>0</v>
      </c>
      <c r="L17" s="324">
        <f>'[2]Ad Valorem Taxes'!H16</f>
        <v>0</v>
      </c>
      <c r="M17" s="324">
        <f>'[2]Ad Valorem Taxes'!I16</f>
        <v>0</v>
      </c>
      <c r="N17" s="313">
        <f>'[2]Ad Valorem Taxes'!J16</f>
        <v>0</v>
      </c>
      <c r="O17" s="30">
        <f t="shared" si="0"/>
        <v>890595</v>
      </c>
      <c r="P17" s="324">
        <f>'[2]Ad Valorem Taxes'!L16</f>
        <v>0</v>
      </c>
      <c r="Q17" s="313">
        <f>'[2]Ad Valorem Taxes'!M16</f>
        <v>0</v>
      </c>
      <c r="R17" s="324">
        <f>'[2]Ad Valorem Taxes'!N16</f>
        <v>0</v>
      </c>
      <c r="S17" s="324">
        <f>'[2]Ad Valorem Taxes'!O16</f>
        <v>0</v>
      </c>
      <c r="T17" s="326">
        <f>'[2]Ad Valorem Taxes'!P16</f>
        <v>0</v>
      </c>
      <c r="U17" s="313">
        <f>'[2]Ad Valorem Taxes'!Q16</f>
        <v>0</v>
      </c>
      <c r="V17" s="30">
        <f t="shared" si="1"/>
        <v>0</v>
      </c>
      <c r="W17" s="53">
        <f t="shared" si="2"/>
        <v>36.46</v>
      </c>
      <c r="X17" s="30">
        <f t="shared" si="3"/>
        <v>890595</v>
      </c>
      <c r="Y17" s="30">
        <f t="shared" si="4"/>
        <v>0</v>
      </c>
      <c r="Z17" s="161">
        <f t="shared" si="5"/>
        <v>0</v>
      </c>
      <c r="AA17" s="383">
        <f t="shared" si="6"/>
        <v>36.33177551030399</v>
      </c>
      <c r="AB17" s="624">
        <f t="shared" si="7"/>
        <v>36.33177551030399</v>
      </c>
      <c r="AC17" s="313">
        <f t="shared" si="8"/>
        <v>890595</v>
      </c>
      <c r="AD17" s="626">
        <f>'[2]Sales Taxes'!C18</f>
        <v>0.02</v>
      </c>
      <c r="AE17" s="628">
        <f>'[2]Sales Taxes'!D18</f>
        <v>1495053</v>
      </c>
      <c r="AF17" s="629">
        <f>'[2]Sales Taxes'!E18</f>
        <v>0</v>
      </c>
      <c r="AG17" s="313">
        <f t="shared" si="9"/>
        <v>1495053</v>
      </c>
      <c r="AH17" s="313">
        <f>ROUND('Table 7 Local Revenue'!AG17/AD17,0)</f>
        <v>74752650</v>
      </c>
      <c r="AI17" s="632">
        <f t="shared" si="10"/>
        <v>0.02</v>
      </c>
      <c r="AJ17" s="632">
        <f t="shared" si="11"/>
        <v>0</v>
      </c>
      <c r="AK17" s="671">
        <f>'[2]Other Revenue'!N18</f>
        <v>129066</v>
      </c>
      <c r="AL17" s="555">
        <f t="shared" si="12"/>
        <v>2514714</v>
      </c>
    </row>
    <row r="18" spans="1:38" ht="12.75">
      <c r="A18" s="28">
        <v>12</v>
      </c>
      <c r="B18" s="266" t="s">
        <v>13</v>
      </c>
      <c r="C18" s="262"/>
      <c r="D18" s="30">
        <f>'[2]2001 Property Assessments'!C17</f>
        <v>156833783</v>
      </c>
      <c r="E18" s="30">
        <f>'[2]2001 Property Assessments'!D17</f>
        <v>10891476</v>
      </c>
      <c r="F18" s="30">
        <f>'[2]2001 Property Assessments'!E17</f>
        <v>145942307</v>
      </c>
      <c r="G18" s="457">
        <f>'[2]Ad Valorem Taxes'!C17</f>
        <v>4.64</v>
      </c>
      <c r="H18" s="313">
        <f>'[2]Ad Valorem Taxes'!D17</f>
        <v>664868</v>
      </c>
      <c r="I18" s="325">
        <f>'[2]Ad Valorem Taxes'!E17</f>
        <v>46.08</v>
      </c>
      <c r="J18" s="313">
        <f>'[2]Ad Valorem Taxes'!F17</f>
        <v>6602830</v>
      </c>
      <c r="K18" s="324">
        <f>'[2]Ad Valorem Taxes'!G17</f>
        <v>0</v>
      </c>
      <c r="L18" s="324">
        <f>'[2]Ad Valorem Taxes'!H17</f>
        <v>0</v>
      </c>
      <c r="M18" s="324">
        <f>'[2]Ad Valorem Taxes'!I17</f>
        <v>0</v>
      </c>
      <c r="N18" s="313">
        <f>'[2]Ad Valorem Taxes'!J17</f>
        <v>0</v>
      </c>
      <c r="O18" s="30">
        <f t="shared" si="0"/>
        <v>7267698</v>
      </c>
      <c r="P18" s="324">
        <f>'[2]Ad Valorem Taxes'!L17</f>
        <v>0</v>
      </c>
      <c r="Q18" s="313">
        <f>'[2]Ad Valorem Taxes'!M17</f>
        <v>0</v>
      </c>
      <c r="R18" s="324">
        <f>'[2]Ad Valorem Taxes'!N17</f>
        <v>5</v>
      </c>
      <c r="S18" s="324">
        <f>'[2]Ad Valorem Taxes'!O17</f>
        <v>20</v>
      </c>
      <c r="T18" s="326">
        <f>'[2]Ad Valorem Taxes'!P17</f>
        <v>2</v>
      </c>
      <c r="U18" s="313">
        <f>'[2]Ad Valorem Taxes'!Q17</f>
        <v>729058</v>
      </c>
      <c r="V18" s="30">
        <f t="shared" si="1"/>
        <v>729058</v>
      </c>
      <c r="W18" s="53">
        <f t="shared" si="2"/>
        <v>50.72</v>
      </c>
      <c r="X18" s="30">
        <f t="shared" si="3"/>
        <v>7267698</v>
      </c>
      <c r="Y18" s="30">
        <f t="shared" si="4"/>
        <v>729058</v>
      </c>
      <c r="Z18" s="161">
        <f t="shared" si="5"/>
        <v>4.995521963346791</v>
      </c>
      <c r="AA18" s="383">
        <f t="shared" si="6"/>
        <v>49.79843165011774</v>
      </c>
      <c r="AB18" s="624">
        <f t="shared" si="7"/>
        <v>54.79395361346453</v>
      </c>
      <c r="AC18" s="313">
        <f t="shared" si="8"/>
        <v>7996756</v>
      </c>
      <c r="AD18" s="626">
        <f>'[2]Sales Taxes'!C19</f>
        <v>0</v>
      </c>
      <c r="AE18" s="628">
        <f>'[2]Sales Taxes'!D19</f>
        <v>0</v>
      </c>
      <c r="AF18" s="629">
        <f>'[2]Sales Taxes'!E19</f>
        <v>0</v>
      </c>
      <c r="AG18" s="313">
        <f t="shared" si="9"/>
        <v>0</v>
      </c>
      <c r="AH18" s="313">
        <f>'[2]Sales Taxes'!$L$25</f>
        <v>8792485</v>
      </c>
      <c r="AI18" s="632">
        <f t="shared" si="10"/>
        <v>0</v>
      </c>
      <c r="AJ18" s="632">
        <f t="shared" si="11"/>
        <v>0</v>
      </c>
      <c r="AK18" s="671">
        <f>'[2]Other Revenue'!N19</f>
        <v>626578</v>
      </c>
      <c r="AL18" s="555">
        <f t="shared" si="12"/>
        <v>8623334</v>
      </c>
    </row>
    <row r="19" spans="1:38" ht="12.75">
      <c r="A19" s="28">
        <v>13</v>
      </c>
      <c r="B19" s="266" t="s">
        <v>14</v>
      </c>
      <c r="C19" s="262"/>
      <c r="D19" s="30">
        <f>'[2]2001 Property Assessments'!C18</f>
        <v>37990310</v>
      </c>
      <c r="E19" s="30">
        <f>'[2]2001 Property Assessments'!D18</f>
        <v>11506910</v>
      </c>
      <c r="F19" s="30">
        <f>'[2]2001 Property Assessments'!E18</f>
        <v>26483400</v>
      </c>
      <c r="G19" s="457">
        <f>'[2]Ad Valorem Taxes'!C18</f>
        <v>4.44</v>
      </c>
      <c r="H19" s="313">
        <f>'[2]Ad Valorem Taxes'!D18</f>
        <v>117931</v>
      </c>
      <c r="I19" s="325">
        <f>'[2]Ad Valorem Taxes'!E18</f>
        <v>13.21</v>
      </c>
      <c r="J19" s="313">
        <f>'[2]Ad Valorem Taxes'!F18</f>
        <v>350878</v>
      </c>
      <c r="K19" s="324">
        <f>'[2]Ad Valorem Taxes'!G18</f>
        <v>4.01</v>
      </c>
      <c r="L19" s="324">
        <f>'[2]Ad Valorem Taxes'!H18</f>
        <v>5.29</v>
      </c>
      <c r="M19" s="324">
        <f>'[2]Ad Valorem Taxes'!I18</f>
        <v>4</v>
      </c>
      <c r="N19" s="313">
        <f>'[2]Ad Valorem Taxes'!J18</f>
        <v>113484</v>
      </c>
      <c r="O19" s="30">
        <f t="shared" si="0"/>
        <v>582293</v>
      </c>
      <c r="P19" s="324">
        <f>'[2]Ad Valorem Taxes'!L18</f>
        <v>0</v>
      </c>
      <c r="Q19" s="313">
        <f>'[2]Ad Valorem Taxes'!M18</f>
        <v>0</v>
      </c>
      <c r="R19" s="324">
        <f>'[2]Ad Valorem Taxes'!N18</f>
        <v>3.68</v>
      </c>
      <c r="S19" s="324">
        <f>'[2]Ad Valorem Taxes'!O18</f>
        <v>40</v>
      </c>
      <c r="T19" s="326">
        <f>'[2]Ad Valorem Taxes'!P18</f>
        <v>4</v>
      </c>
      <c r="U19" s="313">
        <f>'[2]Ad Valorem Taxes'!Q18</f>
        <v>479670</v>
      </c>
      <c r="V19" s="30">
        <f t="shared" si="1"/>
        <v>479670</v>
      </c>
      <c r="W19" s="53">
        <f t="shared" si="2"/>
        <v>17.650000000000002</v>
      </c>
      <c r="X19" s="30">
        <f t="shared" si="3"/>
        <v>468809</v>
      </c>
      <c r="Y19" s="30">
        <f t="shared" si="4"/>
        <v>593154</v>
      </c>
      <c r="Z19" s="161">
        <f t="shared" si="5"/>
        <v>18.112100410068194</v>
      </c>
      <c r="AA19" s="383">
        <f t="shared" si="6"/>
        <v>21.987093802155314</v>
      </c>
      <c r="AB19" s="624">
        <f t="shared" si="7"/>
        <v>40.09919421222351</v>
      </c>
      <c r="AC19" s="313">
        <f t="shared" si="8"/>
        <v>1061963</v>
      </c>
      <c r="AD19" s="626">
        <f>'[2]Sales Taxes'!C20</f>
        <v>0.02</v>
      </c>
      <c r="AE19" s="628">
        <f>'[2]Sales Taxes'!D20</f>
        <v>1424184</v>
      </c>
      <c r="AF19" s="629">
        <f>'[2]Sales Taxes'!E20</f>
        <v>0</v>
      </c>
      <c r="AG19" s="313">
        <f t="shared" si="9"/>
        <v>1424184</v>
      </c>
      <c r="AH19" s="313">
        <f>ROUND('Table 7 Local Revenue'!AG19/AD19,0)</f>
        <v>71209200</v>
      </c>
      <c r="AI19" s="632">
        <f t="shared" si="10"/>
        <v>0.02</v>
      </c>
      <c r="AJ19" s="632">
        <f t="shared" si="11"/>
        <v>0</v>
      </c>
      <c r="AK19" s="671">
        <f>'[2]Other Revenue'!N20</f>
        <v>100345.5</v>
      </c>
      <c r="AL19" s="555">
        <f t="shared" si="12"/>
        <v>2586492.5</v>
      </c>
    </row>
    <row r="20" spans="1:38" ht="12.75">
      <c r="A20" s="28">
        <v>14</v>
      </c>
      <c r="B20" s="266" t="s">
        <v>15</v>
      </c>
      <c r="C20" s="262"/>
      <c r="D20" s="30">
        <f>'[2]2001 Property Assessments'!C19</f>
        <v>81777295</v>
      </c>
      <c r="E20" s="30">
        <f>'[2]2001 Property Assessments'!D19</f>
        <v>16750960</v>
      </c>
      <c r="F20" s="30">
        <f>'[2]2001 Property Assessments'!E19</f>
        <v>65026335</v>
      </c>
      <c r="G20" s="457">
        <f>'[2]Ad Valorem Taxes'!C19</f>
        <v>6.29</v>
      </c>
      <c r="H20" s="313">
        <f>'[2]Ad Valorem Taxes'!D19</f>
        <v>407293</v>
      </c>
      <c r="I20" s="325">
        <f>'[2]Ad Valorem Taxes'!E19</f>
        <v>12.22</v>
      </c>
      <c r="J20" s="313">
        <f>'[2]Ad Valorem Taxes'!F19</f>
        <v>791274</v>
      </c>
      <c r="K20" s="324">
        <f>'[2]Ad Valorem Taxes'!G19</f>
        <v>4.06</v>
      </c>
      <c r="L20" s="324">
        <f>'[2]Ad Valorem Taxes'!H19</f>
        <v>11.87</v>
      </c>
      <c r="M20" s="324">
        <f>'[2]Ad Valorem Taxes'!I19</f>
        <v>5</v>
      </c>
      <c r="N20" s="313">
        <f>'[2]Ad Valorem Taxes'!J19</f>
        <v>447674</v>
      </c>
      <c r="O20" s="30">
        <f t="shared" si="0"/>
        <v>1646241</v>
      </c>
      <c r="P20" s="324">
        <f>'[2]Ad Valorem Taxes'!L19</f>
        <v>0</v>
      </c>
      <c r="Q20" s="313">
        <f>'[2]Ad Valorem Taxes'!M19</f>
        <v>0</v>
      </c>
      <c r="R20" s="324">
        <f>'[2]Ad Valorem Taxes'!N19</f>
        <v>4.08</v>
      </c>
      <c r="S20" s="324">
        <f>'[2]Ad Valorem Taxes'!O19</f>
        <v>31.5</v>
      </c>
      <c r="T20" s="326">
        <f>'[2]Ad Valorem Taxes'!P19</f>
        <v>2</v>
      </c>
      <c r="U20" s="313">
        <f>'[2]Ad Valorem Taxes'!Q19</f>
        <v>724953</v>
      </c>
      <c r="V20" s="30">
        <f t="shared" si="1"/>
        <v>724953</v>
      </c>
      <c r="W20" s="53">
        <f t="shared" si="2"/>
        <v>18.51</v>
      </c>
      <c r="X20" s="30">
        <f t="shared" si="3"/>
        <v>1198567</v>
      </c>
      <c r="Y20" s="30">
        <f t="shared" si="4"/>
        <v>1172627</v>
      </c>
      <c r="Z20" s="161">
        <f t="shared" si="5"/>
        <v>11.148606176251514</v>
      </c>
      <c r="AA20" s="383">
        <f t="shared" si="6"/>
        <v>25.31652752688584</v>
      </c>
      <c r="AB20" s="624">
        <f t="shared" si="7"/>
        <v>36.46513370313735</v>
      </c>
      <c r="AC20" s="313">
        <f t="shared" si="8"/>
        <v>2371194</v>
      </c>
      <c r="AD20" s="626">
        <f>'[2]Sales Taxes'!C21</f>
        <v>0.02</v>
      </c>
      <c r="AE20" s="628">
        <f>'[2]Sales Taxes'!D21</f>
        <v>2471300</v>
      </c>
      <c r="AF20" s="629">
        <f>'[2]Sales Taxes'!E21</f>
        <v>0</v>
      </c>
      <c r="AG20" s="313">
        <f t="shared" si="9"/>
        <v>2471300</v>
      </c>
      <c r="AH20" s="313">
        <f>ROUND('Table 7 Local Revenue'!AG20/AD20,0)</f>
        <v>123565000</v>
      </c>
      <c r="AI20" s="632">
        <f t="shared" si="10"/>
        <v>0.02</v>
      </c>
      <c r="AJ20" s="632">
        <f t="shared" si="11"/>
        <v>0</v>
      </c>
      <c r="AK20" s="671">
        <f>'[2]Other Revenue'!N21</f>
        <v>200564.5</v>
      </c>
      <c r="AL20" s="555">
        <f t="shared" si="12"/>
        <v>5043058.5</v>
      </c>
    </row>
    <row r="21" spans="1:38" ht="12.75">
      <c r="A21" s="42">
        <v>15</v>
      </c>
      <c r="B21" s="267" t="s">
        <v>16</v>
      </c>
      <c r="C21" s="263"/>
      <c r="D21" s="44">
        <f>'[2]2001 Property Assessments'!C20</f>
        <v>123818960</v>
      </c>
      <c r="E21" s="44">
        <f>'[2]2001 Property Assessments'!D20</f>
        <v>23081400</v>
      </c>
      <c r="F21" s="44">
        <f>'[2]2001 Property Assessments'!E20</f>
        <v>100737560</v>
      </c>
      <c r="G21" s="458">
        <f>'[2]Ad Valorem Taxes'!C20</f>
        <v>3.08</v>
      </c>
      <c r="H21" s="315">
        <f>'[2]Ad Valorem Taxes'!D20</f>
        <v>301630</v>
      </c>
      <c r="I21" s="328">
        <f>'[2]Ad Valorem Taxes'!E20</f>
        <v>37.43</v>
      </c>
      <c r="J21" s="315">
        <f>'[2]Ad Valorem Taxes'!F20</f>
        <v>3671007</v>
      </c>
      <c r="K21" s="327">
        <f>'[2]Ad Valorem Taxes'!G20</f>
        <v>0</v>
      </c>
      <c r="L21" s="327">
        <f>'[2]Ad Valorem Taxes'!H20</f>
        <v>0</v>
      </c>
      <c r="M21" s="327">
        <f>'[2]Ad Valorem Taxes'!I20</f>
        <v>0</v>
      </c>
      <c r="N21" s="315">
        <f>'[2]Ad Valorem Taxes'!J20</f>
        <v>0</v>
      </c>
      <c r="O21" s="44">
        <f t="shared" si="0"/>
        <v>3972637</v>
      </c>
      <c r="P21" s="327">
        <f>'[2]Ad Valorem Taxes'!L20</f>
        <v>0</v>
      </c>
      <c r="Q21" s="315">
        <f>'[2]Ad Valorem Taxes'!M20</f>
        <v>0</v>
      </c>
      <c r="R21" s="327">
        <f>'[2]Ad Valorem Taxes'!N20</f>
        <v>0</v>
      </c>
      <c r="S21" s="327">
        <f>'[2]Ad Valorem Taxes'!O20</f>
        <v>0</v>
      </c>
      <c r="T21" s="329">
        <f>'[2]Ad Valorem Taxes'!P20</f>
        <v>0</v>
      </c>
      <c r="U21" s="315">
        <f>'[2]Ad Valorem Taxes'!Q20</f>
        <v>0</v>
      </c>
      <c r="V21" s="44">
        <f t="shared" si="1"/>
        <v>0</v>
      </c>
      <c r="W21" s="54">
        <f t="shared" si="2"/>
        <v>40.51</v>
      </c>
      <c r="X21" s="44">
        <f t="shared" si="3"/>
        <v>3972637</v>
      </c>
      <c r="Y21" s="44">
        <f t="shared" si="4"/>
        <v>0</v>
      </c>
      <c r="Z21" s="162">
        <f t="shared" si="5"/>
        <v>0</v>
      </c>
      <c r="AA21" s="552">
        <f t="shared" si="6"/>
        <v>39.435509456452984</v>
      </c>
      <c r="AB21" s="625">
        <f t="shared" si="7"/>
        <v>39.435509456452984</v>
      </c>
      <c r="AC21" s="315">
        <f t="shared" si="8"/>
        <v>3972637</v>
      </c>
      <c r="AD21" s="627">
        <f>'[2]Sales Taxes'!C22</f>
        <v>0.02</v>
      </c>
      <c r="AE21" s="630">
        <f>'[2]Sales Taxes'!D22</f>
        <v>3095435</v>
      </c>
      <c r="AF21" s="631">
        <f>'[2]Sales Taxes'!E22</f>
        <v>0</v>
      </c>
      <c r="AG21" s="315">
        <f t="shared" si="9"/>
        <v>3095435</v>
      </c>
      <c r="AH21" s="315">
        <f>ROUND('Table 7 Local Revenue'!AG21/AD21,0)</f>
        <v>154771750</v>
      </c>
      <c r="AI21" s="633">
        <f t="shared" si="10"/>
        <v>0.02</v>
      </c>
      <c r="AJ21" s="633">
        <f t="shared" si="11"/>
        <v>0</v>
      </c>
      <c r="AK21" s="672">
        <f>'[2]Other Revenue'!N22</f>
        <v>157490</v>
      </c>
      <c r="AL21" s="556">
        <f t="shared" si="12"/>
        <v>7225562</v>
      </c>
    </row>
    <row r="22" spans="1:38" ht="12.75">
      <c r="A22" s="28">
        <v>16</v>
      </c>
      <c r="B22" s="266" t="s">
        <v>17</v>
      </c>
      <c r="C22" s="262"/>
      <c r="D22" s="30">
        <f>'[2]2001 Property Assessments'!C21</f>
        <v>197339755</v>
      </c>
      <c r="E22" s="30">
        <f>'[2]2001 Property Assessments'!D21</f>
        <v>29339407</v>
      </c>
      <c r="F22" s="30">
        <f>'[2]2001 Property Assessments'!E21</f>
        <v>168000348</v>
      </c>
      <c r="G22" s="457">
        <f>'[2]Ad Valorem Taxes'!C21</f>
        <v>4.49</v>
      </c>
      <c r="H22" s="313">
        <f>'[2]Ad Valorem Taxes'!D21</f>
        <v>738819</v>
      </c>
      <c r="I22" s="325">
        <f>'[2]Ad Valorem Taxes'!E21</f>
        <v>43.07</v>
      </c>
      <c r="J22" s="313">
        <f>'[2]Ad Valorem Taxes'!F21</f>
        <v>7087010</v>
      </c>
      <c r="K22" s="324">
        <f>'[2]Ad Valorem Taxes'!G21</f>
        <v>0</v>
      </c>
      <c r="L22" s="324">
        <f>'[2]Ad Valorem Taxes'!H21</f>
        <v>0</v>
      </c>
      <c r="M22" s="324">
        <f>'[2]Ad Valorem Taxes'!I21</f>
        <v>0</v>
      </c>
      <c r="N22" s="313">
        <f>'[2]Ad Valorem Taxes'!J21</f>
        <v>0</v>
      </c>
      <c r="O22" s="30">
        <f t="shared" si="0"/>
        <v>7825829</v>
      </c>
      <c r="P22" s="324">
        <f>'[2]Ad Valorem Taxes'!L21</f>
        <v>0</v>
      </c>
      <c r="Q22" s="313">
        <f>'[2]Ad Valorem Taxes'!M21</f>
        <v>0</v>
      </c>
      <c r="R22" s="324">
        <f>'[2]Ad Valorem Taxes'!N21</f>
        <v>7.5</v>
      </c>
      <c r="S22" s="324">
        <f>'[2]Ad Valorem Taxes'!O21</f>
        <v>36</v>
      </c>
      <c r="T22" s="326">
        <f>'[2]Ad Valorem Taxes'!P21</f>
        <v>5</v>
      </c>
      <c r="U22" s="313">
        <f>'[2]Ad Valorem Taxes'!Q21</f>
        <v>1784924</v>
      </c>
      <c r="V22" s="30">
        <f t="shared" si="1"/>
        <v>1784924</v>
      </c>
      <c r="W22" s="53">
        <f t="shared" si="2"/>
        <v>47.56</v>
      </c>
      <c r="X22" s="30">
        <f t="shared" si="3"/>
        <v>7825829</v>
      </c>
      <c r="Y22" s="30">
        <f t="shared" si="4"/>
        <v>1784924</v>
      </c>
      <c r="Z22" s="161">
        <f t="shared" si="5"/>
        <v>10.62452561110171</v>
      </c>
      <c r="AA22" s="383">
        <f t="shared" si="6"/>
        <v>46.58221898445115</v>
      </c>
      <c r="AB22" s="624">
        <f t="shared" si="7"/>
        <v>57.20674459555286</v>
      </c>
      <c r="AC22" s="313">
        <f t="shared" si="8"/>
        <v>9610753</v>
      </c>
      <c r="AD22" s="626">
        <f>'[2]Sales Taxes'!C23</f>
        <v>0.025</v>
      </c>
      <c r="AE22" s="628">
        <f>'[2]Sales Taxes'!D23</f>
        <v>5349890</v>
      </c>
      <c r="AF22" s="629">
        <f>'[2]Sales Taxes'!E23</f>
        <v>1047491</v>
      </c>
      <c r="AG22" s="313">
        <f t="shared" si="9"/>
        <v>6397381</v>
      </c>
      <c r="AH22" s="313">
        <f>ROUND('Table 7 Local Revenue'!AG22/AD22,0)</f>
        <v>255895240</v>
      </c>
      <c r="AI22" s="632">
        <f t="shared" si="10"/>
        <v>0.020906563170147285</v>
      </c>
      <c r="AJ22" s="632">
        <f t="shared" si="11"/>
        <v>0.004093436829852717</v>
      </c>
      <c r="AK22" s="671">
        <f>'[2]Other Revenue'!N23</f>
        <v>315106.5</v>
      </c>
      <c r="AL22" s="555">
        <f t="shared" si="12"/>
        <v>16323240.5</v>
      </c>
    </row>
    <row r="23" spans="1:38" ht="12.75">
      <c r="A23" s="28">
        <v>17</v>
      </c>
      <c r="B23" s="266" t="s">
        <v>18</v>
      </c>
      <c r="C23" s="262"/>
      <c r="D23" s="30">
        <f>'[2]2001 Property Assessments'!C22</f>
        <v>2437458220</v>
      </c>
      <c r="E23" s="30">
        <f>'[2]2001 Property Assessments'!D22</f>
        <v>567154550</v>
      </c>
      <c r="F23" s="30">
        <f>'[2]2001 Property Assessments'!E22</f>
        <v>1870303670</v>
      </c>
      <c r="G23" s="457">
        <f>'[2]Ad Valorem Taxes'!C22</f>
        <v>5.25</v>
      </c>
      <c r="H23" s="313">
        <f>'[2]Ad Valorem Taxes'!D22</f>
        <v>9624080</v>
      </c>
      <c r="I23" s="325">
        <f>'[2]Ad Valorem Taxes'!E22</f>
        <v>38.2</v>
      </c>
      <c r="J23" s="313">
        <f>'[2]Ad Valorem Taxes'!F22</f>
        <v>70026643</v>
      </c>
      <c r="K23" s="324">
        <f>'[2]Ad Valorem Taxes'!G22</f>
        <v>0</v>
      </c>
      <c r="L23" s="324">
        <f>'[2]Ad Valorem Taxes'!H22</f>
        <v>0</v>
      </c>
      <c r="M23" s="324">
        <f>'[2]Ad Valorem Taxes'!I22</f>
        <v>0</v>
      </c>
      <c r="N23" s="313">
        <f>'[2]Ad Valorem Taxes'!J22</f>
        <v>0</v>
      </c>
      <c r="O23" s="30">
        <f t="shared" si="0"/>
        <v>79650723</v>
      </c>
      <c r="P23" s="324">
        <f>'[2]Ad Valorem Taxes'!L22</f>
        <v>0</v>
      </c>
      <c r="Q23" s="313">
        <f>'[2]Ad Valorem Taxes'!M22</f>
        <v>0</v>
      </c>
      <c r="R23" s="324">
        <f>'[2]Ad Valorem Taxes'!N22</f>
        <v>0</v>
      </c>
      <c r="S23" s="324">
        <f>'[2]Ad Valorem Taxes'!O22</f>
        <v>0</v>
      </c>
      <c r="T23" s="326">
        <f>'[2]Ad Valorem Taxes'!P22</f>
        <v>0</v>
      </c>
      <c r="U23" s="313">
        <f>'[2]Ad Valorem Taxes'!Q22</f>
        <v>0</v>
      </c>
      <c r="V23" s="30">
        <f t="shared" si="1"/>
        <v>0</v>
      </c>
      <c r="W23" s="53">
        <f t="shared" si="2"/>
        <v>43.45</v>
      </c>
      <c r="X23" s="30">
        <f t="shared" si="3"/>
        <v>79650723</v>
      </c>
      <c r="Y23" s="30">
        <f t="shared" si="4"/>
        <v>0</v>
      </c>
      <c r="Z23" s="161">
        <f t="shared" si="5"/>
        <v>0</v>
      </c>
      <c r="AA23" s="383">
        <f t="shared" si="6"/>
        <v>42.58705379110976</v>
      </c>
      <c r="AB23" s="624">
        <f t="shared" si="7"/>
        <v>42.58705379110976</v>
      </c>
      <c r="AC23" s="313">
        <f t="shared" si="8"/>
        <v>79650723</v>
      </c>
      <c r="AD23" s="626">
        <f>'[2]Sales Taxes'!C24</f>
        <v>0.02</v>
      </c>
      <c r="AE23" s="628">
        <f>'[2]Sales Taxes'!D24</f>
        <v>125380883</v>
      </c>
      <c r="AF23" s="629">
        <f>'[2]Sales Taxes'!E24</f>
        <v>0</v>
      </c>
      <c r="AG23" s="313">
        <f t="shared" si="9"/>
        <v>125380883</v>
      </c>
      <c r="AH23" s="313">
        <f>ROUND('Table 7 Local Revenue'!AG23/AD23,0)</f>
        <v>6269044150</v>
      </c>
      <c r="AI23" s="632">
        <f t="shared" si="10"/>
        <v>0.02</v>
      </c>
      <c r="AJ23" s="632">
        <f t="shared" si="11"/>
        <v>0</v>
      </c>
      <c r="AK23" s="671">
        <f>'[2]Other Revenue'!N24</f>
        <v>4104461.5</v>
      </c>
      <c r="AL23" s="555">
        <f t="shared" si="12"/>
        <v>209136067.5</v>
      </c>
    </row>
    <row r="24" spans="1:38" ht="12.75">
      <c r="A24" s="28">
        <v>18</v>
      </c>
      <c r="B24" s="266" t="s">
        <v>19</v>
      </c>
      <c r="C24" s="262"/>
      <c r="D24" s="30">
        <f>'[2]2001 Property Assessments'!C23</f>
        <v>33790354</v>
      </c>
      <c r="E24" s="30">
        <f>'[2]2001 Property Assessments'!D23</f>
        <v>5734754</v>
      </c>
      <c r="F24" s="30">
        <f>'[2]2001 Property Assessments'!E23</f>
        <v>28055600</v>
      </c>
      <c r="G24" s="457">
        <f>'[2]Ad Valorem Taxes'!C23</f>
        <v>6.06</v>
      </c>
      <c r="H24" s="313">
        <f>'[2]Ad Valorem Taxes'!D23</f>
        <v>162512</v>
      </c>
      <c r="I24" s="325">
        <f>'[2]Ad Valorem Taxes'!E23</f>
        <v>6.29</v>
      </c>
      <c r="J24" s="313">
        <f>'[2]Ad Valorem Taxes'!F23</f>
        <v>168680</v>
      </c>
      <c r="K24" s="324">
        <f>'[2]Ad Valorem Taxes'!G23</f>
        <v>0</v>
      </c>
      <c r="L24" s="324">
        <f>'[2]Ad Valorem Taxes'!H23</f>
        <v>0</v>
      </c>
      <c r="M24" s="324">
        <f>'[2]Ad Valorem Taxes'!I23</f>
        <v>0</v>
      </c>
      <c r="N24" s="313">
        <f>'[2]Ad Valorem Taxes'!J23</f>
        <v>0</v>
      </c>
      <c r="O24" s="30">
        <f t="shared" si="0"/>
        <v>331192</v>
      </c>
      <c r="P24" s="324">
        <f>'[2]Ad Valorem Taxes'!L23</f>
        <v>0</v>
      </c>
      <c r="Q24" s="313">
        <f>'[2]Ad Valorem Taxes'!M23</f>
        <v>0</v>
      </c>
      <c r="R24" s="324">
        <f>'[2]Ad Valorem Taxes'!N23</f>
        <v>0</v>
      </c>
      <c r="S24" s="324">
        <f>'[2]Ad Valorem Taxes'!O23</f>
        <v>0</v>
      </c>
      <c r="T24" s="326">
        <f>'[2]Ad Valorem Taxes'!P23</f>
        <v>0</v>
      </c>
      <c r="U24" s="313">
        <f>'[2]Ad Valorem Taxes'!Q23</f>
        <v>0</v>
      </c>
      <c r="V24" s="30">
        <f t="shared" si="1"/>
        <v>0</v>
      </c>
      <c r="W24" s="53">
        <f t="shared" si="2"/>
        <v>12.35</v>
      </c>
      <c r="X24" s="30">
        <f t="shared" si="3"/>
        <v>331192</v>
      </c>
      <c r="Y24" s="30">
        <f t="shared" si="4"/>
        <v>0</v>
      </c>
      <c r="Z24" s="161">
        <f t="shared" si="5"/>
        <v>0</v>
      </c>
      <c r="AA24" s="383">
        <f t="shared" si="6"/>
        <v>11.80484466559261</v>
      </c>
      <c r="AB24" s="624">
        <f t="shared" si="7"/>
        <v>11.80484466559261</v>
      </c>
      <c r="AC24" s="313">
        <f t="shared" si="8"/>
        <v>331192</v>
      </c>
      <c r="AD24" s="626">
        <f>'[2]Sales Taxes'!C25</f>
        <v>0.03</v>
      </c>
      <c r="AE24" s="628">
        <f>'[2]Sales Taxes'!D25</f>
        <v>1555153</v>
      </c>
      <c r="AF24" s="629">
        <f>'[2]Sales Taxes'!E25</f>
        <v>0</v>
      </c>
      <c r="AG24" s="313">
        <f t="shared" si="9"/>
        <v>1555153</v>
      </c>
      <c r="AH24" s="313">
        <f>ROUND('Table 7 Local Revenue'!AG24/AD24,0)</f>
        <v>51838433</v>
      </c>
      <c r="AI24" s="632">
        <f t="shared" si="10"/>
        <v>0.030000000192907064</v>
      </c>
      <c r="AJ24" s="632">
        <f t="shared" si="11"/>
        <v>0</v>
      </c>
      <c r="AK24" s="671">
        <f>'[2]Other Revenue'!N25</f>
        <v>85632</v>
      </c>
      <c r="AL24" s="555">
        <f t="shared" si="12"/>
        <v>1971977</v>
      </c>
    </row>
    <row r="25" spans="1:38" ht="12.75">
      <c r="A25" s="28">
        <v>19</v>
      </c>
      <c r="B25" s="266" t="s">
        <v>20</v>
      </c>
      <c r="C25" s="262"/>
      <c r="D25" s="30">
        <f>'[2]2001 Property Assessments'!C24</f>
        <v>83506330</v>
      </c>
      <c r="E25" s="30">
        <f>'[2]2001 Property Assessments'!D24</f>
        <v>25945360</v>
      </c>
      <c r="F25" s="30">
        <f>'[2]2001 Property Assessments'!E24</f>
        <v>57560970</v>
      </c>
      <c r="G25" s="457">
        <f>'[2]Ad Valorem Taxes'!C24</f>
        <v>3.34</v>
      </c>
      <c r="H25" s="313">
        <f>'[2]Ad Valorem Taxes'!D24</f>
        <v>170124</v>
      </c>
      <c r="I25" s="325">
        <f>'[2]Ad Valorem Taxes'!E24</f>
        <v>15.51</v>
      </c>
      <c r="J25" s="313">
        <f>'[2]Ad Valorem Taxes'!F24</f>
        <v>789923</v>
      </c>
      <c r="K25" s="324">
        <f>'[2]Ad Valorem Taxes'!G24</f>
        <v>0</v>
      </c>
      <c r="L25" s="324">
        <f>'[2]Ad Valorem Taxes'!H24</f>
        <v>0</v>
      </c>
      <c r="M25" s="324">
        <f>'[2]Ad Valorem Taxes'!I24</f>
        <v>0</v>
      </c>
      <c r="N25" s="313">
        <f>'[2]Ad Valorem Taxes'!J24</f>
        <v>0</v>
      </c>
      <c r="O25" s="30">
        <f t="shared" si="0"/>
        <v>960047</v>
      </c>
      <c r="P25" s="324">
        <f>'[2]Ad Valorem Taxes'!L24</f>
        <v>17.61</v>
      </c>
      <c r="Q25" s="313">
        <f>'[2]Ad Valorem Taxes'!M24</f>
        <v>911909</v>
      </c>
      <c r="R25" s="324">
        <f>'[2]Ad Valorem Taxes'!N24</f>
        <v>0</v>
      </c>
      <c r="S25" s="324">
        <f>'[2]Ad Valorem Taxes'!O24</f>
        <v>0</v>
      </c>
      <c r="T25" s="326">
        <f>'[2]Ad Valorem Taxes'!P24</f>
        <v>0</v>
      </c>
      <c r="U25" s="313">
        <f>'[2]Ad Valorem Taxes'!Q24</f>
        <v>0</v>
      </c>
      <c r="V25" s="30">
        <f t="shared" si="1"/>
        <v>911909</v>
      </c>
      <c r="W25" s="53">
        <f t="shared" si="2"/>
        <v>36.46</v>
      </c>
      <c r="X25" s="30">
        <f t="shared" si="3"/>
        <v>1871956</v>
      </c>
      <c r="Y25" s="30">
        <f t="shared" si="4"/>
        <v>0</v>
      </c>
      <c r="Z25" s="161">
        <f t="shared" si="5"/>
        <v>15.842488408378108</v>
      </c>
      <c r="AA25" s="383">
        <f t="shared" si="6"/>
        <v>16.678784252593378</v>
      </c>
      <c r="AB25" s="624">
        <f t="shared" si="7"/>
        <v>32.52127266097149</v>
      </c>
      <c r="AC25" s="313">
        <f t="shared" si="8"/>
        <v>1871956</v>
      </c>
      <c r="AD25" s="626">
        <f>'[2]Sales Taxes'!C26</f>
        <v>0.02</v>
      </c>
      <c r="AE25" s="628">
        <f>'[2]Sales Taxes'!D26</f>
        <v>1152806</v>
      </c>
      <c r="AF25" s="629">
        <f>'[2]Sales Taxes'!E26</f>
        <v>1173543</v>
      </c>
      <c r="AG25" s="313">
        <f t="shared" si="9"/>
        <v>2326349</v>
      </c>
      <c r="AH25" s="313">
        <f>ROUND('Table 7 Local Revenue'!AG25/AD25,0)</f>
        <v>116317450</v>
      </c>
      <c r="AI25" s="632">
        <f t="shared" si="10"/>
        <v>0.009910860322333407</v>
      </c>
      <c r="AJ25" s="632">
        <f t="shared" si="11"/>
        <v>0.010089139677666593</v>
      </c>
      <c r="AK25" s="671">
        <f>'[2]Other Revenue'!N26</f>
        <v>81404</v>
      </c>
      <c r="AL25" s="555">
        <f t="shared" si="12"/>
        <v>4279709</v>
      </c>
    </row>
    <row r="26" spans="1:38" ht="12.75">
      <c r="A26" s="42">
        <v>20</v>
      </c>
      <c r="B26" s="267" t="s">
        <v>21</v>
      </c>
      <c r="C26" s="263"/>
      <c r="D26" s="44">
        <f>'[2]2001 Property Assessments'!C25</f>
        <v>137508520</v>
      </c>
      <c r="E26" s="44">
        <f>'[2]2001 Property Assessments'!D25</f>
        <v>35928830</v>
      </c>
      <c r="F26" s="44">
        <f>'[2]2001 Property Assessments'!E25</f>
        <v>101579690</v>
      </c>
      <c r="G26" s="458">
        <f>'[2]Ad Valorem Taxes'!C25</f>
        <v>4.56</v>
      </c>
      <c r="H26" s="315">
        <f>'[2]Ad Valorem Taxes'!D25</f>
        <v>460726</v>
      </c>
      <c r="I26" s="328">
        <f>'[2]Ad Valorem Taxes'!E25</f>
        <v>10.22</v>
      </c>
      <c r="J26" s="315">
        <f>'[2]Ad Valorem Taxes'!F25</f>
        <v>1032590</v>
      </c>
      <c r="K26" s="327">
        <f>'[2]Ad Valorem Taxes'!G25</f>
        <v>2.08</v>
      </c>
      <c r="L26" s="327">
        <f>'[2]Ad Valorem Taxes'!H25</f>
        <v>12.29</v>
      </c>
      <c r="M26" s="327">
        <f>'[2]Ad Valorem Taxes'!I25</f>
        <v>3</v>
      </c>
      <c r="N26" s="315">
        <f>'[2]Ad Valorem Taxes'!J25</f>
        <v>1419327</v>
      </c>
      <c r="O26" s="44">
        <f t="shared" si="0"/>
        <v>2912643</v>
      </c>
      <c r="P26" s="327">
        <f>'[2]Ad Valorem Taxes'!L25</f>
        <v>0</v>
      </c>
      <c r="Q26" s="315">
        <f>'[2]Ad Valorem Taxes'!M25</f>
        <v>0</v>
      </c>
      <c r="R26" s="327">
        <f>'[2]Ad Valorem Taxes'!N25</f>
        <v>7</v>
      </c>
      <c r="S26" s="327">
        <f>'[2]Ad Valorem Taxes'!O25</f>
        <v>36.5</v>
      </c>
      <c r="T26" s="329">
        <f>'[2]Ad Valorem Taxes'!P25</f>
        <v>3</v>
      </c>
      <c r="U26" s="315">
        <f>'[2]Ad Valorem Taxes'!Q25</f>
        <v>692351</v>
      </c>
      <c r="V26" s="44">
        <f t="shared" si="1"/>
        <v>692351</v>
      </c>
      <c r="W26" s="54">
        <f t="shared" si="2"/>
        <v>14.780000000000001</v>
      </c>
      <c r="X26" s="44">
        <f t="shared" si="3"/>
        <v>1493316</v>
      </c>
      <c r="Y26" s="44">
        <f t="shared" si="4"/>
        <v>2111678</v>
      </c>
      <c r="Z26" s="162">
        <f t="shared" si="5"/>
        <v>6.815840843774971</v>
      </c>
      <c r="AA26" s="552">
        <f t="shared" si="6"/>
        <v>28.673477936386693</v>
      </c>
      <c r="AB26" s="625">
        <f t="shared" si="7"/>
        <v>35.48931878016166</v>
      </c>
      <c r="AC26" s="315">
        <f t="shared" si="8"/>
        <v>3604994</v>
      </c>
      <c r="AD26" s="627">
        <f>'[2]Sales Taxes'!C27</f>
        <v>0.02</v>
      </c>
      <c r="AE26" s="630">
        <f>'[2]Sales Taxes'!D27</f>
        <v>4432912</v>
      </c>
      <c r="AF26" s="631">
        <f>'[2]Sales Taxes'!E27</f>
        <v>0</v>
      </c>
      <c r="AG26" s="315">
        <f t="shared" si="9"/>
        <v>4432912</v>
      </c>
      <c r="AH26" s="315">
        <f>ROUND('Table 7 Local Revenue'!AG26/AD26,0)</f>
        <v>221645600</v>
      </c>
      <c r="AI26" s="633">
        <f t="shared" si="10"/>
        <v>0.02</v>
      </c>
      <c r="AJ26" s="633">
        <f t="shared" si="11"/>
        <v>0</v>
      </c>
      <c r="AK26" s="672">
        <f>'[2]Other Revenue'!N27</f>
        <v>240117</v>
      </c>
      <c r="AL26" s="556">
        <f t="shared" si="12"/>
        <v>8278023</v>
      </c>
    </row>
    <row r="27" spans="1:38" ht="12.75">
      <c r="A27" s="28">
        <v>21</v>
      </c>
      <c r="B27" s="266" t="s">
        <v>22</v>
      </c>
      <c r="C27" s="262"/>
      <c r="D27" s="30">
        <f>'[2]2001 Property Assessments'!C26</f>
        <v>66883409</v>
      </c>
      <c r="E27" s="30">
        <f>'[2]2001 Property Assessments'!D26</f>
        <v>23691477</v>
      </c>
      <c r="F27" s="30">
        <f>'[2]2001 Property Assessments'!E26</f>
        <v>43191932</v>
      </c>
      <c r="G27" s="457">
        <f>'[2]Ad Valorem Taxes'!C26</f>
        <v>4.31</v>
      </c>
      <c r="H27" s="313">
        <f>'[2]Ad Valorem Taxes'!D26</f>
        <v>186500</v>
      </c>
      <c r="I27" s="325">
        <f>'[2]Ad Valorem Taxes'!E26</f>
        <v>9.49</v>
      </c>
      <c r="J27" s="313">
        <f>'[2]Ad Valorem Taxes'!F26</f>
        <v>408478</v>
      </c>
      <c r="K27" s="324">
        <f>'[2]Ad Valorem Taxes'!G26</f>
        <v>0</v>
      </c>
      <c r="L27" s="324">
        <f>'[2]Ad Valorem Taxes'!H26</f>
        <v>0</v>
      </c>
      <c r="M27" s="324">
        <f>'[2]Ad Valorem Taxes'!I26</f>
        <v>0</v>
      </c>
      <c r="N27" s="313">
        <f>'[2]Ad Valorem Taxes'!J26</f>
        <v>0</v>
      </c>
      <c r="O27" s="30">
        <f t="shared" si="0"/>
        <v>594978</v>
      </c>
      <c r="P27" s="324">
        <f>'[2]Ad Valorem Taxes'!L26</f>
        <v>0</v>
      </c>
      <c r="Q27" s="313">
        <f>'[2]Ad Valorem Taxes'!M26</f>
        <v>0</v>
      </c>
      <c r="R27" s="324">
        <f>'[2]Ad Valorem Taxes'!N26</f>
        <v>0</v>
      </c>
      <c r="S27" s="324">
        <f>'[2]Ad Valorem Taxes'!O26</f>
        <v>0</v>
      </c>
      <c r="T27" s="326">
        <f>'[2]Ad Valorem Taxes'!P26</f>
        <v>0</v>
      </c>
      <c r="U27" s="313">
        <f>'[2]Ad Valorem Taxes'!Q26</f>
        <v>0</v>
      </c>
      <c r="V27" s="30">
        <f t="shared" si="1"/>
        <v>0</v>
      </c>
      <c r="W27" s="53">
        <f t="shared" si="2"/>
        <v>13.8</v>
      </c>
      <c r="X27" s="30">
        <f t="shared" si="3"/>
        <v>594978</v>
      </c>
      <c r="Y27" s="30">
        <f t="shared" si="4"/>
        <v>0</v>
      </c>
      <c r="Z27" s="161">
        <f t="shared" si="5"/>
        <v>0</v>
      </c>
      <c r="AA27" s="383">
        <f t="shared" si="6"/>
        <v>13.775211537191714</v>
      </c>
      <c r="AB27" s="624">
        <f t="shared" si="7"/>
        <v>13.775211537191714</v>
      </c>
      <c r="AC27" s="313">
        <f t="shared" si="8"/>
        <v>594978</v>
      </c>
      <c r="AD27" s="626">
        <f>'[2]Sales Taxes'!C28</f>
        <v>0.015</v>
      </c>
      <c r="AE27" s="628">
        <f>'[2]Sales Taxes'!D28</f>
        <v>2690967</v>
      </c>
      <c r="AF27" s="629">
        <f>'[2]Sales Taxes'!E28</f>
        <v>0</v>
      </c>
      <c r="AG27" s="313">
        <f t="shared" si="9"/>
        <v>2690967</v>
      </c>
      <c r="AH27" s="313">
        <f>ROUND('Table 7 Local Revenue'!AG27/AD27,0)</f>
        <v>179397800</v>
      </c>
      <c r="AI27" s="632">
        <f t="shared" si="10"/>
        <v>0.015</v>
      </c>
      <c r="AJ27" s="632">
        <f t="shared" si="11"/>
        <v>0</v>
      </c>
      <c r="AK27" s="671">
        <f>'[2]Other Revenue'!N28</f>
        <v>72008</v>
      </c>
      <c r="AL27" s="555">
        <f t="shared" si="12"/>
        <v>3357953</v>
      </c>
    </row>
    <row r="28" spans="1:38" ht="12.75">
      <c r="A28" s="28">
        <v>22</v>
      </c>
      <c r="B28" s="266" t="s">
        <v>23</v>
      </c>
      <c r="C28" s="262"/>
      <c r="D28" s="30">
        <f>'[2]2001 Property Assessments'!C27</f>
        <v>47041677</v>
      </c>
      <c r="E28" s="30">
        <f>'[2]2001 Property Assessments'!D27</f>
        <v>19870726</v>
      </c>
      <c r="F28" s="30">
        <f>'[2]2001 Property Assessments'!E27</f>
        <v>27170951</v>
      </c>
      <c r="G28" s="457">
        <f>'[2]Ad Valorem Taxes'!C27</f>
        <v>5.93</v>
      </c>
      <c r="H28" s="313">
        <f>'[2]Ad Valorem Taxes'!D27</f>
        <v>160111</v>
      </c>
      <c r="I28" s="325">
        <f>'[2]Ad Valorem Taxes'!E27</f>
        <v>24.12</v>
      </c>
      <c r="J28" s="313">
        <f>'[2]Ad Valorem Taxes'!F27</f>
        <v>651279</v>
      </c>
      <c r="K28" s="324">
        <f>'[2]Ad Valorem Taxes'!G27</f>
        <v>2.66</v>
      </c>
      <c r="L28" s="324">
        <f>'[2]Ad Valorem Taxes'!H27</f>
        <v>16.12</v>
      </c>
      <c r="M28" s="324">
        <f>'[2]Ad Valorem Taxes'!I27</f>
        <v>7</v>
      </c>
      <c r="N28" s="313">
        <f>'[2]Ad Valorem Taxes'!J27</f>
        <v>234873</v>
      </c>
      <c r="O28" s="30">
        <f t="shared" si="0"/>
        <v>1046263</v>
      </c>
      <c r="P28" s="324">
        <f>'[2]Ad Valorem Taxes'!L27</f>
        <v>0</v>
      </c>
      <c r="Q28" s="313">
        <f>'[2]Ad Valorem Taxes'!M27</f>
        <v>0</v>
      </c>
      <c r="R28" s="324">
        <f>'[2]Ad Valorem Taxes'!N27</f>
        <v>16</v>
      </c>
      <c r="S28" s="324">
        <f>'[2]Ad Valorem Taxes'!O27</f>
        <v>32</v>
      </c>
      <c r="T28" s="326">
        <f>'[2]Ad Valorem Taxes'!P27</f>
        <v>3</v>
      </c>
      <c r="U28" s="313">
        <f>'[2]Ad Valorem Taxes'!Q27</f>
        <v>426030</v>
      </c>
      <c r="V28" s="30">
        <f t="shared" si="1"/>
        <v>426030</v>
      </c>
      <c r="W28" s="53">
        <f t="shared" si="2"/>
        <v>30.05</v>
      </c>
      <c r="X28" s="30">
        <f t="shared" si="3"/>
        <v>811390</v>
      </c>
      <c r="Y28" s="30">
        <f t="shared" si="4"/>
        <v>660903</v>
      </c>
      <c r="Z28" s="161">
        <f t="shared" si="5"/>
        <v>15.679613128005716</v>
      </c>
      <c r="AA28" s="383">
        <f t="shared" si="6"/>
        <v>38.50667575087821</v>
      </c>
      <c r="AB28" s="624">
        <f t="shared" si="7"/>
        <v>54.18628887888392</v>
      </c>
      <c r="AC28" s="313">
        <f t="shared" si="8"/>
        <v>1472293</v>
      </c>
      <c r="AD28" s="626">
        <f>'[2]Sales Taxes'!C29</f>
        <v>0.01</v>
      </c>
      <c r="AE28" s="628">
        <f>'[2]Sales Taxes'!D29</f>
        <v>808228</v>
      </c>
      <c r="AF28" s="629">
        <f>'[2]Sales Taxes'!E29</f>
        <v>0</v>
      </c>
      <c r="AG28" s="313">
        <f t="shared" si="9"/>
        <v>808228</v>
      </c>
      <c r="AH28" s="313">
        <f>ROUND('Table 7 Local Revenue'!AG28/AD28,0)</f>
        <v>80822800</v>
      </c>
      <c r="AI28" s="632">
        <f t="shared" si="10"/>
        <v>0.01</v>
      </c>
      <c r="AJ28" s="632">
        <f t="shared" si="11"/>
        <v>0</v>
      </c>
      <c r="AK28" s="671">
        <f>'[2]Other Revenue'!N29</f>
        <v>662382</v>
      </c>
      <c r="AL28" s="555">
        <f t="shared" si="12"/>
        <v>2942903</v>
      </c>
    </row>
    <row r="29" spans="1:38" ht="12.75">
      <c r="A29" s="28">
        <v>23</v>
      </c>
      <c r="B29" s="266" t="s">
        <v>24</v>
      </c>
      <c r="C29" s="262"/>
      <c r="D29" s="30">
        <f>'[2]2001 Property Assessments'!C28</f>
        <v>316470574</v>
      </c>
      <c r="E29" s="30">
        <f>'[2]2001 Property Assessments'!D28</f>
        <v>85331311</v>
      </c>
      <c r="F29" s="30">
        <f>'[2]2001 Property Assessments'!E28</f>
        <v>231139263</v>
      </c>
      <c r="G29" s="457">
        <f>'[2]Ad Valorem Taxes'!C28</f>
        <v>5.28</v>
      </c>
      <c r="H29" s="313">
        <f>'[2]Ad Valorem Taxes'!D28</f>
        <v>1241500</v>
      </c>
      <c r="I29" s="325">
        <f>'[2]Ad Valorem Taxes'!E28</f>
        <v>7.36</v>
      </c>
      <c r="J29" s="313">
        <f>'[2]Ad Valorem Taxes'!F28</f>
        <v>1730777</v>
      </c>
      <c r="K29" s="324">
        <f>'[2]Ad Valorem Taxes'!G28</f>
        <v>0</v>
      </c>
      <c r="L29" s="324">
        <f>'[2]Ad Valorem Taxes'!H28</f>
        <v>0</v>
      </c>
      <c r="M29" s="324">
        <f>'[2]Ad Valorem Taxes'!I28</f>
        <v>0</v>
      </c>
      <c r="N29" s="313">
        <f>'[2]Ad Valorem Taxes'!J28</f>
        <v>0</v>
      </c>
      <c r="O29" s="30">
        <f t="shared" si="0"/>
        <v>2972277</v>
      </c>
      <c r="P29" s="324">
        <f>'[2]Ad Valorem Taxes'!L28</f>
        <v>23.84</v>
      </c>
      <c r="Q29" s="313">
        <f>'[2]Ad Valorem Taxes'!M28</f>
        <v>5596223</v>
      </c>
      <c r="R29" s="324">
        <f>'[2]Ad Valorem Taxes'!N28</f>
        <v>0</v>
      </c>
      <c r="S29" s="324">
        <f>'[2]Ad Valorem Taxes'!O28</f>
        <v>0</v>
      </c>
      <c r="T29" s="326">
        <f>'[2]Ad Valorem Taxes'!P28</f>
        <v>0</v>
      </c>
      <c r="U29" s="313">
        <f>'[2]Ad Valorem Taxes'!Q28</f>
        <v>0</v>
      </c>
      <c r="V29" s="30">
        <f t="shared" si="1"/>
        <v>5596223</v>
      </c>
      <c r="W29" s="53">
        <f t="shared" si="2"/>
        <v>36.480000000000004</v>
      </c>
      <c r="X29" s="30">
        <f t="shared" si="3"/>
        <v>8568500</v>
      </c>
      <c r="Y29" s="30">
        <f t="shared" si="4"/>
        <v>0</v>
      </c>
      <c r="Z29" s="161">
        <f t="shared" si="5"/>
        <v>24.211477216659638</v>
      </c>
      <c r="AA29" s="383">
        <f t="shared" si="6"/>
        <v>12.859247543763258</v>
      </c>
      <c r="AB29" s="624">
        <f t="shared" si="7"/>
        <v>37.0707247604229</v>
      </c>
      <c r="AC29" s="313">
        <f t="shared" si="8"/>
        <v>8568500</v>
      </c>
      <c r="AD29" s="626">
        <f>'[2]Sales Taxes'!C30</f>
        <v>0.02</v>
      </c>
      <c r="AE29" s="628">
        <f>'[2]Sales Taxes'!D30</f>
        <v>18457334</v>
      </c>
      <c r="AF29" s="629">
        <f>'[2]Sales Taxes'!E30</f>
        <v>1315678</v>
      </c>
      <c r="AG29" s="313">
        <f t="shared" si="9"/>
        <v>19773012</v>
      </c>
      <c r="AH29" s="313">
        <f>ROUND('Table 7 Local Revenue'!AG29/AD29,0)</f>
        <v>988650600</v>
      </c>
      <c r="AI29" s="632">
        <f t="shared" si="10"/>
        <v>0.01866921842762246</v>
      </c>
      <c r="AJ29" s="632">
        <f t="shared" si="11"/>
        <v>0.0013307815723775417</v>
      </c>
      <c r="AK29" s="671">
        <f>'[2]Other Revenue'!N30</f>
        <v>572415.5</v>
      </c>
      <c r="AL29" s="555">
        <f t="shared" si="12"/>
        <v>28913927.5</v>
      </c>
    </row>
    <row r="30" spans="1:38" ht="12.75">
      <c r="A30" s="28">
        <v>24</v>
      </c>
      <c r="B30" s="266" t="s">
        <v>25</v>
      </c>
      <c r="C30" s="262"/>
      <c r="D30" s="30">
        <f>'[2]2001 Property Assessments'!C29</f>
        <v>297988536</v>
      </c>
      <c r="E30" s="30">
        <f>'[2]2001 Property Assessments'!D29</f>
        <v>36776410</v>
      </c>
      <c r="F30" s="30">
        <f>'[2]2001 Property Assessments'!E29</f>
        <v>261212126</v>
      </c>
      <c r="G30" s="457">
        <f>'[2]Ad Valorem Taxes'!C29</f>
        <v>3.93</v>
      </c>
      <c r="H30" s="313">
        <f>'[2]Ad Valorem Taxes'!D29</f>
        <v>1011387</v>
      </c>
      <c r="I30" s="325">
        <f>'[2]Ad Valorem Taxes'!E29</f>
        <v>24.34</v>
      </c>
      <c r="J30" s="313">
        <f>'[2]Ad Valorem Taxes'!F29</f>
        <v>6263673</v>
      </c>
      <c r="K30" s="324">
        <f>'[2]Ad Valorem Taxes'!G29</f>
        <v>0</v>
      </c>
      <c r="L30" s="324">
        <f>'[2]Ad Valorem Taxes'!H29</f>
        <v>0</v>
      </c>
      <c r="M30" s="324">
        <f>'[2]Ad Valorem Taxes'!I29</f>
        <v>0</v>
      </c>
      <c r="N30" s="313">
        <f>'[2]Ad Valorem Taxes'!J29</f>
        <v>0</v>
      </c>
      <c r="O30" s="30">
        <f t="shared" si="0"/>
        <v>7275060</v>
      </c>
      <c r="P30" s="324">
        <f>'[2]Ad Valorem Taxes'!L29</f>
        <v>12</v>
      </c>
      <c r="Q30" s="313">
        <f>'[2]Ad Valorem Taxes'!M29</f>
        <v>3088106</v>
      </c>
      <c r="R30" s="324">
        <f>'[2]Ad Valorem Taxes'!N29</f>
        <v>0</v>
      </c>
      <c r="S30" s="324">
        <f>'[2]Ad Valorem Taxes'!O29</f>
        <v>0</v>
      </c>
      <c r="T30" s="326">
        <f>'[2]Ad Valorem Taxes'!P29</f>
        <v>0</v>
      </c>
      <c r="U30" s="313">
        <f>'[2]Ad Valorem Taxes'!Q29</f>
        <v>0</v>
      </c>
      <c r="V30" s="30">
        <f t="shared" si="1"/>
        <v>3088106</v>
      </c>
      <c r="W30" s="53">
        <f t="shared" si="2"/>
        <v>40.269999999999996</v>
      </c>
      <c r="X30" s="30">
        <f t="shared" si="3"/>
        <v>10363166</v>
      </c>
      <c r="Y30" s="30">
        <f t="shared" si="4"/>
        <v>0</v>
      </c>
      <c r="Z30" s="161">
        <f t="shared" si="5"/>
        <v>11.822215328548722</v>
      </c>
      <c r="AA30" s="383">
        <f t="shared" si="6"/>
        <v>27.851157262124957</v>
      </c>
      <c r="AB30" s="624">
        <f t="shared" si="7"/>
        <v>39.67337259067368</v>
      </c>
      <c r="AC30" s="313">
        <f t="shared" si="8"/>
        <v>10363166</v>
      </c>
      <c r="AD30" s="626">
        <f>'[2]Sales Taxes'!C31</f>
        <v>0.0181</v>
      </c>
      <c r="AE30" s="628">
        <f>'[2]Sales Taxes'!D31</f>
        <v>13230378</v>
      </c>
      <c r="AF30" s="629">
        <f>'[2]Sales Taxes'!E31</f>
        <v>0</v>
      </c>
      <c r="AG30" s="313">
        <f t="shared" si="9"/>
        <v>13230378</v>
      </c>
      <c r="AH30" s="313">
        <f>ROUND('Table 7 Local Revenue'!AG30/AD30,0)</f>
        <v>730960110</v>
      </c>
      <c r="AI30" s="632">
        <f t="shared" si="10"/>
        <v>0.018100000012312573</v>
      </c>
      <c r="AJ30" s="632">
        <f t="shared" si="11"/>
        <v>0</v>
      </c>
      <c r="AK30" s="671">
        <f>'[2]Other Revenue'!N31</f>
        <v>188544.5</v>
      </c>
      <c r="AL30" s="555">
        <f t="shared" si="12"/>
        <v>23782088.5</v>
      </c>
    </row>
    <row r="31" spans="1:38" ht="12.75">
      <c r="A31" s="42">
        <v>25</v>
      </c>
      <c r="B31" s="267" t="s">
        <v>26</v>
      </c>
      <c r="C31" s="263"/>
      <c r="D31" s="44">
        <f>'[2]2001 Property Assessments'!C30</f>
        <v>70021480</v>
      </c>
      <c r="E31" s="44">
        <f>'[2]2001 Property Assessments'!D30</f>
        <v>15271810</v>
      </c>
      <c r="F31" s="44">
        <f>'[2]2001 Property Assessments'!E30</f>
        <v>54749670</v>
      </c>
      <c r="G31" s="458">
        <f>'[2]Ad Valorem Taxes'!C30</f>
        <v>4.85</v>
      </c>
      <c r="H31" s="315">
        <f>'[2]Ad Valorem Taxes'!D30</f>
        <v>300608</v>
      </c>
      <c r="I31" s="328">
        <f>'[2]Ad Valorem Taxes'!E30</f>
        <v>20.45</v>
      </c>
      <c r="J31" s="315">
        <f>'[2]Ad Valorem Taxes'!F30</f>
        <v>1050201</v>
      </c>
      <c r="K31" s="327">
        <f>'[2]Ad Valorem Taxes'!G30</f>
        <v>0</v>
      </c>
      <c r="L31" s="327">
        <f>'[2]Ad Valorem Taxes'!H30</f>
        <v>0</v>
      </c>
      <c r="M31" s="327">
        <f>'[2]Ad Valorem Taxes'!I30</f>
        <v>0</v>
      </c>
      <c r="N31" s="315">
        <f>'[2]Ad Valorem Taxes'!J30</f>
        <v>0</v>
      </c>
      <c r="O31" s="44">
        <f t="shared" si="0"/>
        <v>1350809</v>
      </c>
      <c r="P31" s="327">
        <f>'[2]Ad Valorem Taxes'!L30</f>
        <v>0</v>
      </c>
      <c r="Q31" s="315">
        <f>'[2]Ad Valorem Taxes'!M30</f>
        <v>344435</v>
      </c>
      <c r="R31" s="327">
        <f>'[2]Ad Valorem Taxes'!N30</f>
        <v>5</v>
      </c>
      <c r="S31" s="327">
        <f>'[2]Ad Valorem Taxes'!O30</f>
        <v>21</v>
      </c>
      <c r="T31" s="329">
        <f>'[2]Ad Valorem Taxes'!P30</f>
        <v>4</v>
      </c>
      <c r="U31" s="315">
        <f>'[2]Ad Valorem Taxes'!Q30</f>
        <v>0</v>
      </c>
      <c r="V31" s="44">
        <f t="shared" si="1"/>
        <v>344435</v>
      </c>
      <c r="W31" s="54">
        <f t="shared" si="2"/>
        <v>25.299999999999997</v>
      </c>
      <c r="X31" s="44">
        <f t="shared" si="3"/>
        <v>1695244</v>
      </c>
      <c r="Y31" s="44">
        <f t="shared" si="4"/>
        <v>0</v>
      </c>
      <c r="Z31" s="162">
        <f t="shared" si="5"/>
        <v>6.291088147197965</v>
      </c>
      <c r="AA31" s="552">
        <f t="shared" si="6"/>
        <v>24.67245921299617</v>
      </c>
      <c r="AB31" s="625">
        <f t="shared" si="7"/>
        <v>30.963547360194134</v>
      </c>
      <c r="AC31" s="315">
        <f t="shared" si="8"/>
        <v>1695244</v>
      </c>
      <c r="AD31" s="627">
        <f>'[2]Sales Taxes'!C32</f>
        <v>0.03</v>
      </c>
      <c r="AE31" s="630">
        <f>'[2]Sales Taxes'!D32</f>
        <v>5046316</v>
      </c>
      <c r="AF31" s="631">
        <f>'[2]Sales Taxes'!E32</f>
        <v>0</v>
      </c>
      <c r="AG31" s="315">
        <f t="shared" si="9"/>
        <v>5046316</v>
      </c>
      <c r="AH31" s="315">
        <f>ROUND('Table 7 Local Revenue'!AG31/AD31,0)</f>
        <v>168210533</v>
      </c>
      <c r="AI31" s="633">
        <f t="shared" si="10"/>
        <v>0.03000000005944931</v>
      </c>
      <c r="AJ31" s="633">
        <f t="shared" si="11"/>
        <v>0</v>
      </c>
      <c r="AK31" s="672">
        <f>'[2]Other Revenue'!N32</f>
        <v>84060.5</v>
      </c>
      <c r="AL31" s="556">
        <f t="shared" si="12"/>
        <v>6825620.5</v>
      </c>
    </row>
    <row r="32" spans="1:38" ht="12.75">
      <c r="A32" s="28">
        <v>26</v>
      </c>
      <c r="B32" s="266" t="s">
        <v>27</v>
      </c>
      <c r="C32" s="262"/>
      <c r="D32" s="30">
        <f>'[2]2001 Property Assessments'!C31</f>
        <v>2677130626</v>
      </c>
      <c r="E32" s="30">
        <f>'[2]2001 Property Assessments'!D31</f>
        <v>751619260</v>
      </c>
      <c r="F32" s="30">
        <f>'[2]2001 Property Assessments'!E31</f>
        <v>1925511366</v>
      </c>
      <c r="G32" s="457">
        <f>'[2]Ad Valorem Taxes'!C31</f>
        <v>2.6</v>
      </c>
      <c r="H32" s="313">
        <f>'[2]Ad Valorem Taxes'!D31</f>
        <v>4881880</v>
      </c>
      <c r="I32" s="325">
        <f>'[2]Ad Valorem Taxes'!E31</f>
        <v>9.84</v>
      </c>
      <c r="J32" s="313">
        <f>'[2]Ad Valorem Taxes'!F31</f>
        <v>18481426</v>
      </c>
      <c r="K32" s="324">
        <f>'[2]Ad Valorem Taxes'!G31</f>
        <v>0</v>
      </c>
      <c r="L32" s="324">
        <f>'[2]Ad Valorem Taxes'!H31</f>
        <v>0</v>
      </c>
      <c r="M32" s="324">
        <f>'[2]Ad Valorem Taxes'!I31</f>
        <v>0</v>
      </c>
      <c r="N32" s="313">
        <f>'[2]Ad Valorem Taxes'!J31</f>
        <v>0</v>
      </c>
      <c r="O32" s="30">
        <f t="shared" si="0"/>
        <v>23363306</v>
      </c>
      <c r="P32" s="324">
        <f>'[2]Ad Valorem Taxes'!L31</f>
        <v>0</v>
      </c>
      <c r="Q32" s="313">
        <f>'[2]Ad Valorem Taxes'!M31</f>
        <v>0</v>
      </c>
      <c r="R32" s="324">
        <f>'[2]Ad Valorem Taxes'!N31</f>
        <v>0</v>
      </c>
      <c r="S32" s="324">
        <f>'[2]Ad Valorem Taxes'!O31</f>
        <v>0</v>
      </c>
      <c r="T32" s="326">
        <f>'[2]Ad Valorem Taxes'!P31</f>
        <v>0</v>
      </c>
      <c r="U32" s="313">
        <f>'[2]Ad Valorem Taxes'!Q31</f>
        <v>0</v>
      </c>
      <c r="V32" s="30">
        <f t="shared" si="1"/>
        <v>0</v>
      </c>
      <c r="W32" s="53">
        <f t="shared" si="2"/>
        <v>12.44</v>
      </c>
      <c r="X32" s="30">
        <f t="shared" si="3"/>
        <v>23363306</v>
      </c>
      <c r="Y32" s="30">
        <f t="shared" si="4"/>
        <v>0</v>
      </c>
      <c r="Z32" s="161">
        <f t="shared" si="5"/>
        <v>0</v>
      </c>
      <c r="AA32" s="383">
        <f t="shared" si="6"/>
        <v>12.133559122288764</v>
      </c>
      <c r="AB32" s="624">
        <f t="shared" si="7"/>
        <v>12.133559122288764</v>
      </c>
      <c r="AC32" s="313">
        <f t="shared" si="8"/>
        <v>23363306</v>
      </c>
      <c r="AD32" s="626">
        <f>'[2]Sales Taxes'!C33</f>
        <v>0.02</v>
      </c>
      <c r="AE32" s="628">
        <f>'[2]Sales Taxes'!D33</f>
        <v>146305236</v>
      </c>
      <c r="AF32" s="629">
        <f>'[2]Sales Taxes'!E33</f>
        <v>0</v>
      </c>
      <c r="AG32" s="313">
        <f t="shared" si="9"/>
        <v>146305236</v>
      </c>
      <c r="AH32" s="313">
        <f>ROUND('Table 7 Local Revenue'!AG32/AD32,0)</f>
        <v>7315261800</v>
      </c>
      <c r="AI32" s="632">
        <f t="shared" si="10"/>
        <v>0.02</v>
      </c>
      <c r="AJ32" s="632">
        <f t="shared" si="11"/>
        <v>0</v>
      </c>
      <c r="AK32" s="671">
        <f>'[2]Other Revenue'!N33</f>
        <v>1987138.5</v>
      </c>
      <c r="AL32" s="555">
        <f t="shared" si="12"/>
        <v>171655680.5</v>
      </c>
    </row>
    <row r="33" spans="1:38" ht="12.75">
      <c r="A33" s="28">
        <v>27</v>
      </c>
      <c r="B33" s="266" t="s">
        <v>28</v>
      </c>
      <c r="C33" s="262"/>
      <c r="D33" s="30">
        <f>'[2]2001 Property Assessments'!C32</f>
        <v>132061230</v>
      </c>
      <c r="E33" s="30">
        <f>'[2]2001 Property Assessments'!D32</f>
        <v>32080900</v>
      </c>
      <c r="F33" s="30">
        <f>'[2]2001 Property Assessments'!E32</f>
        <v>99980330</v>
      </c>
      <c r="G33" s="457">
        <f>'[2]Ad Valorem Taxes'!C32</f>
        <v>6.48</v>
      </c>
      <c r="H33" s="313">
        <f>'[2]Ad Valorem Taxes'!D32</f>
        <v>664794</v>
      </c>
      <c r="I33" s="325">
        <f>'[2]Ad Valorem Taxes'!E32</f>
        <v>10.77</v>
      </c>
      <c r="J33" s="313">
        <f>'[2]Ad Valorem Taxes'!F32</f>
        <v>1104751</v>
      </c>
      <c r="K33" s="324">
        <f>'[2]Ad Valorem Taxes'!G32</f>
        <v>4.02</v>
      </c>
      <c r="L33" s="324">
        <f>'[2]Ad Valorem Taxes'!H32</f>
        <v>21.45</v>
      </c>
      <c r="M33" s="324">
        <f>'[2]Ad Valorem Taxes'!I32</f>
        <v>7</v>
      </c>
      <c r="N33" s="313">
        <f>'[2]Ad Valorem Taxes'!J32</f>
        <v>1231825</v>
      </c>
      <c r="O33" s="30">
        <f t="shared" si="0"/>
        <v>3001370</v>
      </c>
      <c r="P33" s="324">
        <f>'[2]Ad Valorem Taxes'!L32</f>
        <v>0</v>
      </c>
      <c r="Q33" s="313">
        <f>'[2]Ad Valorem Taxes'!M32</f>
        <v>0</v>
      </c>
      <c r="R33" s="324">
        <f>'[2]Ad Valorem Taxes'!N32</f>
        <v>18</v>
      </c>
      <c r="S33" s="324">
        <f>'[2]Ad Valorem Taxes'!O32</f>
        <v>30</v>
      </c>
      <c r="T33" s="326">
        <f>'[2]Ad Valorem Taxes'!P32</f>
        <v>5</v>
      </c>
      <c r="U33" s="313">
        <f>'[2]Ad Valorem Taxes'!Q32</f>
        <v>1402253</v>
      </c>
      <c r="V33" s="30">
        <f t="shared" si="1"/>
        <v>1402253</v>
      </c>
      <c r="W33" s="53">
        <f t="shared" si="2"/>
        <v>17.25</v>
      </c>
      <c r="X33" s="30">
        <f t="shared" si="3"/>
        <v>1769545</v>
      </c>
      <c r="Y33" s="30">
        <f t="shared" si="4"/>
        <v>2634078</v>
      </c>
      <c r="Z33" s="161">
        <f t="shared" si="5"/>
        <v>14.025288774301906</v>
      </c>
      <c r="AA33" s="383">
        <f t="shared" si="6"/>
        <v>30.01960485627523</v>
      </c>
      <c r="AB33" s="624">
        <f t="shared" si="7"/>
        <v>44.044893630577135</v>
      </c>
      <c r="AC33" s="313">
        <f t="shared" si="8"/>
        <v>4403623</v>
      </c>
      <c r="AD33" s="626">
        <f>'[2]Sales Taxes'!C34</f>
        <v>0.0225</v>
      </c>
      <c r="AE33" s="628">
        <f>'[2]Sales Taxes'!D34</f>
        <v>6738298</v>
      </c>
      <c r="AF33" s="629">
        <f>'[2]Sales Taxes'!E34</f>
        <v>447497</v>
      </c>
      <c r="AG33" s="313">
        <f t="shared" si="9"/>
        <v>7185795</v>
      </c>
      <c r="AH33" s="313">
        <f>ROUND('Table 7 Local Revenue'!AG33/AD33,0)</f>
        <v>319368667</v>
      </c>
      <c r="AI33" s="632">
        <f t="shared" si="10"/>
        <v>0.021098807416821512</v>
      </c>
      <c r="AJ33" s="632">
        <f t="shared" si="11"/>
        <v>0.0014011925596946553</v>
      </c>
      <c r="AK33" s="671">
        <f>'[2]Other Revenue'!N34</f>
        <v>309494.5</v>
      </c>
      <c r="AL33" s="555">
        <f t="shared" si="12"/>
        <v>11898912.5</v>
      </c>
    </row>
    <row r="34" spans="1:38" ht="12.75">
      <c r="A34" s="28">
        <v>28</v>
      </c>
      <c r="B34" s="266" t="s">
        <v>29</v>
      </c>
      <c r="C34" s="262"/>
      <c r="D34" s="30">
        <f>'[2]2001 Property Assessments'!C33</f>
        <v>1016794854</v>
      </c>
      <c r="E34" s="30">
        <f>'[2]2001 Property Assessments'!D33</f>
        <v>269516398</v>
      </c>
      <c r="F34" s="30">
        <f>'[2]2001 Property Assessments'!E33</f>
        <v>747278456</v>
      </c>
      <c r="G34" s="457">
        <f>'[2]Ad Valorem Taxes'!C33</f>
        <v>4.59</v>
      </c>
      <c r="H34" s="313">
        <f>'[2]Ad Valorem Taxes'!D33</f>
        <v>3299712</v>
      </c>
      <c r="I34" s="325">
        <f>'[2]Ad Valorem Taxes'!E33</f>
        <v>28.97</v>
      </c>
      <c r="J34" s="313">
        <f>'[2]Ad Valorem Taxes'!F33</f>
        <v>20820980</v>
      </c>
      <c r="K34" s="324">
        <f>'[2]Ad Valorem Taxes'!G33</f>
        <v>0</v>
      </c>
      <c r="L34" s="324">
        <f>'[2]Ad Valorem Taxes'!H33</f>
        <v>0</v>
      </c>
      <c r="M34" s="324">
        <f>'[2]Ad Valorem Taxes'!I33</f>
        <v>0</v>
      </c>
      <c r="N34" s="313">
        <f>'[2]Ad Valorem Taxes'!J33</f>
        <v>0</v>
      </c>
      <c r="O34" s="30">
        <f t="shared" si="0"/>
        <v>24120692</v>
      </c>
      <c r="P34" s="324">
        <f>'[2]Ad Valorem Taxes'!L33</f>
        <v>0.8</v>
      </c>
      <c r="Q34" s="313">
        <f>'[2]Ad Valorem Taxes'!M33</f>
        <v>589363</v>
      </c>
      <c r="R34" s="324">
        <f>'[2]Ad Valorem Taxes'!N33</f>
        <v>0</v>
      </c>
      <c r="S34" s="324">
        <f>'[2]Ad Valorem Taxes'!O33</f>
        <v>0</v>
      </c>
      <c r="T34" s="326">
        <f>'[2]Ad Valorem Taxes'!P33</f>
        <v>0</v>
      </c>
      <c r="U34" s="313">
        <f>'[2]Ad Valorem Taxes'!Q33</f>
        <v>0</v>
      </c>
      <c r="V34" s="30">
        <f t="shared" si="1"/>
        <v>589363</v>
      </c>
      <c r="W34" s="53">
        <f t="shared" si="2"/>
        <v>34.36</v>
      </c>
      <c r="X34" s="30">
        <f t="shared" si="3"/>
        <v>24710055</v>
      </c>
      <c r="Y34" s="30">
        <f t="shared" si="4"/>
        <v>0</v>
      </c>
      <c r="Z34" s="161">
        <f t="shared" si="5"/>
        <v>0.788679233648347</v>
      </c>
      <c r="AA34" s="383">
        <f t="shared" si="6"/>
        <v>32.27805084748757</v>
      </c>
      <c r="AB34" s="624">
        <f t="shared" si="7"/>
        <v>33.066730081135915</v>
      </c>
      <c r="AC34" s="313">
        <f t="shared" si="8"/>
        <v>24710055</v>
      </c>
      <c r="AD34" s="626">
        <f>'[2]Sales Taxes'!C35</f>
        <v>0.0175</v>
      </c>
      <c r="AE34" s="628">
        <f>'[2]Sales Taxes'!D35</f>
        <v>50163710</v>
      </c>
      <c r="AF34" s="629">
        <f>'[2]Sales Taxes'!E35</f>
        <v>9440133</v>
      </c>
      <c r="AG34" s="313">
        <f t="shared" si="9"/>
        <v>59603843</v>
      </c>
      <c r="AH34" s="313">
        <f>ROUND('Table 7 Local Revenue'!AG34/AD34,0)</f>
        <v>3405933886</v>
      </c>
      <c r="AI34" s="632">
        <f t="shared" si="10"/>
        <v>0.01472832758327946</v>
      </c>
      <c r="AJ34" s="632">
        <f t="shared" si="11"/>
        <v>0.002771672415252514</v>
      </c>
      <c r="AK34" s="671">
        <f>'[2]Other Revenue'!N35</f>
        <v>2181837</v>
      </c>
      <c r="AL34" s="555">
        <f t="shared" si="12"/>
        <v>86495735</v>
      </c>
    </row>
    <row r="35" spans="1:38" ht="12.75">
      <c r="A35" s="28">
        <v>29</v>
      </c>
      <c r="B35" s="266" t="s">
        <v>30</v>
      </c>
      <c r="C35" s="262"/>
      <c r="D35" s="30">
        <f>'[2]2001 Property Assessments'!C34</f>
        <v>455698270</v>
      </c>
      <c r="E35" s="30">
        <f>'[2]2001 Property Assessments'!D34</f>
        <v>127192300</v>
      </c>
      <c r="F35" s="30">
        <f>'[2]2001 Property Assessments'!E34</f>
        <v>328505970</v>
      </c>
      <c r="G35" s="457">
        <f>'[2]Ad Valorem Taxes'!C34</f>
        <v>3.93</v>
      </c>
      <c r="H35" s="313">
        <f>'[2]Ad Valorem Taxes'!D34</f>
        <v>1250284</v>
      </c>
      <c r="I35" s="325">
        <f>'[2]Ad Valorem Taxes'!E34</f>
        <v>22.47</v>
      </c>
      <c r="J35" s="313">
        <f>'[2]Ad Valorem Taxes'!F34</f>
        <v>7148410</v>
      </c>
      <c r="K35" s="324">
        <f>'[2]Ad Valorem Taxes'!G34</f>
        <v>0</v>
      </c>
      <c r="L35" s="324">
        <f>'[2]Ad Valorem Taxes'!H34</f>
        <v>0</v>
      </c>
      <c r="M35" s="324">
        <f>'[2]Ad Valorem Taxes'!I34</f>
        <v>0</v>
      </c>
      <c r="N35" s="313">
        <f>'[2]Ad Valorem Taxes'!J34</f>
        <v>0</v>
      </c>
      <c r="O35" s="30">
        <f t="shared" si="0"/>
        <v>8398694</v>
      </c>
      <c r="P35" s="324">
        <f>'[2]Ad Valorem Taxes'!L34</f>
        <v>17.2</v>
      </c>
      <c r="Q35" s="313">
        <f>'[2]Ad Valorem Taxes'!M34</f>
        <v>5471982</v>
      </c>
      <c r="R35" s="324">
        <f>'[2]Ad Valorem Taxes'!N34</f>
        <v>0</v>
      </c>
      <c r="S35" s="324">
        <f>'[2]Ad Valorem Taxes'!O34</f>
        <v>0</v>
      </c>
      <c r="T35" s="326">
        <f>'[2]Ad Valorem Taxes'!P34</f>
        <v>0</v>
      </c>
      <c r="U35" s="313">
        <f>'[2]Ad Valorem Taxes'!Q34</f>
        <v>0</v>
      </c>
      <c r="V35" s="30">
        <f t="shared" si="1"/>
        <v>5471982</v>
      </c>
      <c r="W35" s="53">
        <f t="shared" si="2"/>
        <v>43.599999999999994</v>
      </c>
      <c r="X35" s="30">
        <f t="shared" si="3"/>
        <v>13870676</v>
      </c>
      <c r="Y35" s="30">
        <f t="shared" si="4"/>
        <v>0</v>
      </c>
      <c r="Z35" s="161">
        <f t="shared" si="5"/>
        <v>16.65717673258723</v>
      </c>
      <c r="AA35" s="383">
        <f t="shared" si="6"/>
        <v>25.566335978612507</v>
      </c>
      <c r="AB35" s="624">
        <f t="shared" si="7"/>
        <v>42.22351271119974</v>
      </c>
      <c r="AC35" s="313">
        <f t="shared" si="8"/>
        <v>13870676</v>
      </c>
      <c r="AD35" s="626">
        <f>'[2]Sales Taxes'!C36</f>
        <v>0.02</v>
      </c>
      <c r="AE35" s="628">
        <f>'[2]Sales Taxes'!D36</f>
        <v>19545497</v>
      </c>
      <c r="AF35" s="629">
        <f>'[2]Sales Taxes'!E36</f>
        <v>0</v>
      </c>
      <c r="AG35" s="313">
        <f t="shared" si="9"/>
        <v>19545497</v>
      </c>
      <c r="AH35" s="313">
        <f>ROUND('Table 7 Local Revenue'!AG35/AD35,0)</f>
        <v>977274850</v>
      </c>
      <c r="AI35" s="632">
        <f t="shared" si="10"/>
        <v>0.02</v>
      </c>
      <c r="AJ35" s="632">
        <f t="shared" si="11"/>
        <v>0</v>
      </c>
      <c r="AK35" s="671">
        <f>'[2]Other Revenue'!N36</f>
        <v>891777</v>
      </c>
      <c r="AL35" s="555">
        <f t="shared" si="12"/>
        <v>34307950</v>
      </c>
    </row>
    <row r="36" spans="1:38" ht="12.75">
      <c r="A36" s="42">
        <v>30</v>
      </c>
      <c r="B36" s="267" t="s">
        <v>31</v>
      </c>
      <c r="C36" s="263"/>
      <c r="D36" s="44">
        <f>'[2]2001 Property Assessments'!C35</f>
        <v>53898597</v>
      </c>
      <c r="E36" s="44">
        <f>'[2]2001 Property Assessments'!D35</f>
        <v>14644432</v>
      </c>
      <c r="F36" s="44">
        <f>'[2]2001 Property Assessments'!E35</f>
        <v>39254165</v>
      </c>
      <c r="G36" s="458">
        <f>'[2]Ad Valorem Taxes'!C35</f>
        <v>5.54</v>
      </c>
      <c r="H36" s="315">
        <f>'[2]Ad Valorem Taxes'!D35</f>
        <v>206145</v>
      </c>
      <c r="I36" s="328">
        <f>'[2]Ad Valorem Taxes'!E35</f>
        <v>48.49</v>
      </c>
      <c r="J36" s="315">
        <f>'[2]Ad Valorem Taxes'!F35</f>
        <v>1804319</v>
      </c>
      <c r="K36" s="327">
        <f>'[2]Ad Valorem Taxes'!G35</f>
        <v>0</v>
      </c>
      <c r="L36" s="327">
        <f>'[2]Ad Valorem Taxes'!H35</f>
        <v>0</v>
      </c>
      <c r="M36" s="327">
        <f>'[2]Ad Valorem Taxes'!I35</f>
        <v>0</v>
      </c>
      <c r="N36" s="315">
        <f>'[2]Ad Valorem Taxes'!J35</f>
        <v>0</v>
      </c>
      <c r="O36" s="44">
        <f t="shared" si="0"/>
        <v>2010464</v>
      </c>
      <c r="P36" s="327">
        <f>'[2]Ad Valorem Taxes'!L35</f>
        <v>0</v>
      </c>
      <c r="Q36" s="315">
        <f>'[2]Ad Valorem Taxes'!M35</f>
        <v>0</v>
      </c>
      <c r="R36" s="327">
        <f>'[2]Ad Valorem Taxes'!N35</f>
        <v>0</v>
      </c>
      <c r="S36" s="327">
        <f>'[2]Ad Valorem Taxes'!O35</f>
        <v>0</v>
      </c>
      <c r="T36" s="329">
        <f>'[2]Ad Valorem Taxes'!P35</f>
        <v>0</v>
      </c>
      <c r="U36" s="315">
        <f>'[2]Ad Valorem Taxes'!Q35</f>
        <v>0</v>
      </c>
      <c r="V36" s="44">
        <f t="shared" si="1"/>
        <v>0</v>
      </c>
      <c r="W36" s="54">
        <f t="shared" si="2"/>
        <v>54.03</v>
      </c>
      <c r="X36" s="44">
        <f t="shared" si="3"/>
        <v>2010464</v>
      </c>
      <c r="Y36" s="44">
        <f t="shared" si="4"/>
        <v>0</v>
      </c>
      <c r="Z36" s="162">
        <f t="shared" si="5"/>
        <v>0</v>
      </c>
      <c r="AA36" s="552">
        <f t="shared" si="6"/>
        <v>51.216577909630736</v>
      </c>
      <c r="AB36" s="625">
        <f t="shared" si="7"/>
        <v>51.216577909630736</v>
      </c>
      <c r="AC36" s="315">
        <f t="shared" si="8"/>
        <v>2010464</v>
      </c>
      <c r="AD36" s="627">
        <f>'[2]Sales Taxes'!C37</f>
        <v>0.02</v>
      </c>
      <c r="AE36" s="630">
        <f>'[2]Sales Taxes'!D37</f>
        <v>2623571</v>
      </c>
      <c r="AF36" s="631">
        <f>'[2]Sales Taxes'!E37</f>
        <v>0</v>
      </c>
      <c r="AG36" s="315">
        <f t="shared" si="9"/>
        <v>2623571</v>
      </c>
      <c r="AH36" s="315">
        <f>ROUND('Table 7 Local Revenue'!AG36/AD36,0)</f>
        <v>131178550</v>
      </c>
      <c r="AI36" s="633">
        <f t="shared" si="10"/>
        <v>0.02</v>
      </c>
      <c r="AJ36" s="633">
        <f t="shared" si="11"/>
        <v>0</v>
      </c>
      <c r="AK36" s="672">
        <f>'[2]Other Revenue'!N37</f>
        <v>71148</v>
      </c>
      <c r="AL36" s="556">
        <f t="shared" si="12"/>
        <v>4705183</v>
      </c>
    </row>
    <row r="37" spans="1:38" ht="12.75">
      <c r="A37" s="28">
        <v>31</v>
      </c>
      <c r="B37" s="266" t="s">
        <v>32</v>
      </c>
      <c r="C37" s="262"/>
      <c r="D37" s="30">
        <f>'[2]2001 Property Assessments'!C36</f>
        <v>196300710</v>
      </c>
      <c r="E37" s="30">
        <f>'[2]2001 Property Assessments'!D36</f>
        <v>42854470</v>
      </c>
      <c r="F37" s="30">
        <f>'[2]2001 Property Assessments'!E36</f>
        <v>153446240</v>
      </c>
      <c r="G37" s="457">
        <f>'[2]Ad Valorem Taxes'!C36</f>
        <v>4.99</v>
      </c>
      <c r="H37" s="313">
        <f>'[2]Ad Valorem Taxes'!D36</f>
        <v>760547</v>
      </c>
      <c r="I37" s="325">
        <f>'[2]Ad Valorem Taxes'!E36</f>
        <v>32.37</v>
      </c>
      <c r="J37" s="313">
        <f>'[2]Ad Valorem Taxes'!F36</f>
        <v>4939418</v>
      </c>
      <c r="K37" s="324">
        <f>'[2]Ad Valorem Taxes'!G36</f>
        <v>2.75</v>
      </c>
      <c r="L37" s="324">
        <f>'[2]Ad Valorem Taxes'!H36</f>
        <v>3.33</v>
      </c>
      <c r="M37" s="324">
        <f>'[2]Ad Valorem Taxes'!I36</f>
        <v>3</v>
      </c>
      <c r="N37" s="313">
        <f>'[2]Ad Valorem Taxes'!J36</f>
        <v>429592</v>
      </c>
      <c r="O37" s="30">
        <f t="shared" si="0"/>
        <v>6129557</v>
      </c>
      <c r="P37" s="324">
        <f>'[2]Ad Valorem Taxes'!L36</f>
        <v>0</v>
      </c>
      <c r="Q37" s="313">
        <f>'[2]Ad Valorem Taxes'!M36</f>
        <v>0</v>
      </c>
      <c r="R37" s="324">
        <f>'[2]Ad Valorem Taxes'!N36</f>
        <v>15</v>
      </c>
      <c r="S37" s="324">
        <f>'[2]Ad Valorem Taxes'!O36</f>
        <v>25</v>
      </c>
      <c r="T37" s="326">
        <f>'[2]Ad Valorem Taxes'!P36</f>
        <v>3</v>
      </c>
      <c r="U37" s="313">
        <f>'[2]Ad Valorem Taxes'!Q36</f>
        <v>2113652</v>
      </c>
      <c r="V37" s="30">
        <f t="shared" si="1"/>
        <v>2113652</v>
      </c>
      <c r="W37" s="53">
        <f t="shared" si="2"/>
        <v>37.36</v>
      </c>
      <c r="X37" s="30">
        <f t="shared" si="3"/>
        <v>5699965</v>
      </c>
      <c r="Y37" s="30">
        <f t="shared" si="4"/>
        <v>2543244</v>
      </c>
      <c r="Z37" s="161">
        <f t="shared" si="5"/>
        <v>13.774544100917689</v>
      </c>
      <c r="AA37" s="383">
        <f t="shared" si="6"/>
        <v>39.94595762007593</v>
      </c>
      <c r="AB37" s="624">
        <f t="shared" si="7"/>
        <v>53.720501720993624</v>
      </c>
      <c r="AC37" s="313">
        <f t="shared" si="8"/>
        <v>8243209</v>
      </c>
      <c r="AD37" s="626">
        <f>'[2]Sales Taxes'!C38</f>
        <v>0.02</v>
      </c>
      <c r="AE37" s="628">
        <f>'[2]Sales Taxes'!D38</f>
        <v>10767727</v>
      </c>
      <c r="AF37" s="629">
        <f>'[2]Sales Taxes'!E38</f>
        <v>0</v>
      </c>
      <c r="AG37" s="313">
        <f t="shared" si="9"/>
        <v>10767727</v>
      </c>
      <c r="AH37" s="313">
        <f>ROUND('Table 7 Local Revenue'!AG37/AD37,0)</f>
        <v>538386350</v>
      </c>
      <c r="AI37" s="632">
        <f t="shared" si="10"/>
        <v>0.02</v>
      </c>
      <c r="AJ37" s="632">
        <f t="shared" si="11"/>
        <v>0</v>
      </c>
      <c r="AK37" s="671">
        <f>'[2]Other Revenue'!N38</f>
        <v>274438</v>
      </c>
      <c r="AL37" s="555">
        <f t="shared" si="12"/>
        <v>19285374</v>
      </c>
    </row>
    <row r="38" spans="1:38" ht="12.75">
      <c r="A38" s="28">
        <v>32</v>
      </c>
      <c r="B38" s="266" t="s">
        <v>33</v>
      </c>
      <c r="C38" s="262"/>
      <c r="D38" s="30">
        <f>'[2]2001 Property Assessments'!C37</f>
        <v>288092950</v>
      </c>
      <c r="E38" s="30">
        <f>'[2]2001 Property Assessments'!D37</f>
        <v>141189180</v>
      </c>
      <c r="F38" s="30">
        <f>'[2]2001 Property Assessments'!E37</f>
        <v>146903770</v>
      </c>
      <c r="G38" s="457">
        <f>'[2]Ad Valorem Taxes'!C37</f>
        <v>3.29</v>
      </c>
      <c r="H38" s="313">
        <f>'[2]Ad Valorem Taxes'!D37</f>
        <v>450915</v>
      </c>
      <c r="I38" s="325">
        <f>'[2]Ad Valorem Taxes'!E37</f>
        <v>19.18</v>
      </c>
      <c r="J38" s="313">
        <f>'[2]Ad Valorem Taxes'!F37</f>
        <v>2628794</v>
      </c>
      <c r="K38" s="324">
        <f>'[2]Ad Valorem Taxes'!G37</f>
        <v>0</v>
      </c>
      <c r="L38" s="324">
        <f>'[2]Ad Valorem Taxes'!H37</f>
        <v>0</v>
      </c>
      <c r="M38" s="324">
        <f>'[2]Ad Valorem Taxes'!I37</f>
        <v>0</v>
      </c>
      <c r="N38" s="313">
        <f>'[2]Ad Valorem Taxes'!J37</f>
        <v>0</v>
      </c>
      <c r="O38" s="30">
        <f t="shared" si="0"/>
        <v>3079709</v>
      </c>
      <c r="P38" s="324">
        <f>'[2]Ad Valorem Taxes'!L37</f>
        <v>0</v>
      </c>
      <c r="Q38" s="313">
        <f>'[2]Ad Valorem Taxes'!M37</f>
        <v>0</v>
      </c>
      <c r="R38" s="324">
        <f>'[2]Ad Valorem Taxes'!N37</f>
        <v>7.75</v>
      </c>
      <c r="S38" s="324">
        <f>'[2]Ad Valorem Taxes'!O37</f>
        <v>48.15</v>
      </c>
      <c r="T38" s="326">
        <f>'[2]Ad Valorem Taxes'!P37</f>
        <v>10</v>
      </c>
      <c r="U38" s="313">
        <f>'[2]Ad Valorem Taxes'!Q37</f>
        <v>2958768</v>
      </c>
      <c r="V38" s="30">
        <f t="shared" si="1"/>
        <v>2958768</v>
      </c>
      <c r="W38" s="53">
        <f t="shared" si="2"/>
        <v>22.47</v>
      </c>
      <c r="X38" s="30">
        <f t="shared" si="3"/>
        <v>3079709</v>
      </c>
      <c r="Y38" s="30">
        <f t="shared" si="4"/>
        <v>2958768</v>
      </c>
      <c r="Z38" s="161">
        <f t="shared" si="5"/>
        <v>20.140858195810768</v>
      </c>
      <c r="AA38" s="383">
        <f t="shared" si="6"/>
        <v>20.964125018711226</v>
      </c>
      <c r="AB38" s="624">
        <f t="shared" si="7"/>
        <v>41.104983214521994</v>
      </c>
      <c r="AC38" s="313">
        <f t="shared" si="8"/>
        <v>6038477</v>
      </c>
      <c r="AD38" s="626">
        <f>'[2]Sales Taxes'!C39</f>
        <v>0.025</v>
      </c>
      <c r="AE38" s="628">
        <f>'[2]Sales Taxes'!D39</f>
        <v>18999959</v>
      </c>
      <c r="AF38" s="629">
        <f>'[2]Sales Taxes'!E39</f>
        <v>0</v>
      </c>
      <c r="AG38" s="313">
        <f t="shared" si="9"/>
        <v>18999959</v>
      </c>
      <c r="AH38" s="313">
        <f>ROUND('Table 7 Local Revenue'!AG38/AD38,0)</f>
        <v>759998360</v>
      </c>
      <c r="AI38" s="632">
        <f t="shared" si="10"/>
        <v>0.025</v>
      </c>
      <c r="AJ38" s="632">
        <f t="shared" si="11"/>
        <v>0</v>
      </c>
      <c r="AK38" s="671">
        <f>'[2]Other Revenue'!N39</f>
        <v>653791.5</v>
      </c>
      <c r="AL38" s="555">
        <f t="shared" si="12"/>
        <v>25692227.5</v>
      </c>
    </row>
    <row r="39" spans="1:38" ht="12.75">
      <c r="A39" s="28">
        <v>33</v>
      </c>
      <c r="B39" s="266" t="s">
        <v>34</v>
      </c>
      <c r="C39" s="262"/>
      <c r="D39" s="30">
        <f>'[2]2001 Property Assessments'!C38</f>
        <v>54896513</v>
      </c>
      <c r="E39" s="30">
        <f>'[2]2001 Property Assessments'!D38</f>
        <v>9689507</v>
      </c>
      <c r="F39" s="30">
        <f>'[2]2001 Property Assessments'!E38</f>
        <v>45207006</v>
      </c>
      <c r="G39" s="457">
        <f>'[2]Ad Valorem Taxes'!C38</f>
        <v>4.76</v>
      </c>
      <c r="H39" s="313">
        <f>'[2]Ad Valorem Taxes'!D38</f>
        <v>213986</v>
      </c>
      <c r="I39" s="325">
        <f>'[2]Ad Valorem Taxes'!E38</f>
        <v>4.76</v>
      </c>
      <c r="J39" s="313">
        <f>'[2]Ad Valorem Taxes'!F38</f>
        <v>213986</v>
      </c>
      <c r="K39" s="324">
        <f>'[2]Ad Valorem Taxes'!G38</f>
        <v>0</v>
      </c>
      <c r="L39" s="324">
        <f>'[2]Ad Valorem Taxes'!H38</f>
        <v>0</v>
      </c>
      <c r="M39" s="324">
        <f>'[2]Ad Valorem Taxes'!I38</f>
        <v>0</v>
      </c>
      <c r="N39" s="313">
        <f>'[2]Ad Valorem Taxes'!J38</f>
        <v>0</v>
      </c>
      <c r="O39" s="30">
        <f t="shared" si="0"/>
        <v>427972</v>
      </c>
      <c r="P39" s="324">
        <f>'[2]Ad Valorem Taxes'!L38</f>
        <v>0</v>
      </c>
      <c r="Q39" s="313">
        <f>'[2]Ad Valorem Taxes'!M38</f>
        <v>0</v>
      </c>
      <c r="R39" s="324">
        <f>'[2]Ad Valorem Taxes'!N38</f>
        <v>0</v>
      </c>
      <c r="S39" s="324">
        <f>'[2]Ad Valorem Taxes'!O38</f>
        <v>0</v>
      </c>
      <c r="T39" s="326">
        <f>'[2]Ad Valorem Taxes'!P38</f>
        <v>0</v>
      </c>
      <c r="U39" s="313">
        <f>'[2]Ad Valorem Taxes'!Q38</f>
        <v>0</v>
      </c>
      <c r="V39" s="30">
        <f t="shared" si="1"/>
        <v>0</v>
      </c>
      <c r="W39" s="53">
        <f t="shared" si="2"/>
        <v>9.52</v>
      </c>
      <c r="X39" s="30">
        <f t="shared" si="3"/>
        <v>427972</v>
      </c>
      <c r="Y39" s="30">
        <f t="shared" si="4"/>
        <v>0</v>
      </c>
      <c r="Z39" s="161">
        <f t="shared" si="5"/>
        <v>0</v>
      </c>
      <c r="AA39" s="383">
        <f t="shared" si="6"/>
        <v>9.466939703991898</v>
      </c>
      <c r="AB39" s="624">
        <f t="shared" si="7"/>
        <v>9.466939703991898</v>
      </c>
      <c r="AC39" s="313">
        <f t="shared" si="8"/>
        <v>427972</v>
      </c>
      <c r="AD39" s="626">
        <f>'[2]Sales Taxes'!C40</f>
        <v>0.015</v>
      </c>
      <c r="AE39" s="628">
        <f>'[2]Sales Taxes'!D40</f>
        <v>1426584</v>
      </c>
      <c r="AF39" s="629">
        <f>'[2]Sales Taxes'!E40</f>
        <v>0</v>
      </c>
      <c r="AG39" s="313">
        <f t="shared" si="9"/>
        <v>1426584</v>
      </c>
      <c r="AH39" s="313">
        <f>ROUND('Table 7 Local Revenue'!AG39/AD39,0)</f>
        <v>95105600</v>
      </c>
      <c r="AI39" s="632">
        <f t="shared" si="10"/>
        <v>0.015</v>
      </c>
      <c r="AJ39" s="632">
        <f t="shared" si="11"/>
        <v>0</v>
      </c>
      <c r="AK39" s="671">
        <f>'[2]Other Revenue'!N40</f>
        <v>97969.5</v>
      </c>
      <c r="AL39" s="555">
        <f t="shared" si="12"/>
        <v>1952525.5</v>
      </c>
    </row>
    <row r="40" spans="1:38" ht="12.75">
      <c r="A40" s="28">
        <v>34</v>
      </c>
      <c r="B40" s="266" t="s">
        <v>35</v>
      </c>
      <c r="C40" s="262"/>
      <c r="D40" s="30">
        <f>'[2]2001 Property Assessments'!C39</f>
        <v>133530270</v>
      </c>
      <c r="E40" s="30">
        <f>'[2]2001 Property Assessments'!D39</f>
        <v>29823070</v>
      </c>
      <c r="F40" s="30">
        <f>'[2]2001 Property Assessments'!E39</f>
        <v>103707200</v>
      </c>
      <c r="G40" s="457">
        <f>'[2]Ad Valorem Taxes'!C39</f>
        <v>5.57</v>
      </c>
      <c r="H40" s="313">
        <f>'[2]Ad Valorem Taxes'!D39</f>
        <v>609892</v>
      </c>
      <c r="I40" s="325">
        <f>'[2]Ad Valorem Taxes'!E39</f>
        <v>23.29</v>
      </c>
      <c r="J40" s="313">
        <f>'[2]Ad Valorem Taxes'!F39</f>
        <v>2595415</v>
      </c>
      <c r="K40" s="324">
        <f>'[2]Ad Valorem Taxes'!G39</f>
        <v>5</v>
      </c>
      <c r="L40" s="324">
        <f>'[2]Ad Valorem Taxes'!H39</f>
        <v>5</v>
      </c>
      <c r="M40" s="324">
        <f>'[2]Ad Valorem Taxes'!I39</f>
        <v>1</v>
      </c>
      <c r="N40" s="313">
        <f>'[2]Ad Valorem Taxes'!J39</f>
        <v>34566</v>
      </c>
      <c r="O40" s="30">
        <f t="shared" si="0"/>
        <v>3239873</v>
      </c>
      <c r="P40" s="324">
        <f>'[2]Ad Valorem Taxes'!L39</f>
        <v>0</v>
      </c>
      <c r="Q40" s="313">
        <f>'[2]Ad Valorem Taxes'!M39</f>
        <v>0</v>
      </c>
      <c r="R40" s="324">
        <f>'[2]Ad Valorem Taxes'!N39</f>
        <v>0</v>
      </c>
      <c r="S40" s="324">
        <f>'[2]Ad Valorem Taxes'!O39</f>
        <v>0</v>
      </c>
      <c r="T40" s="326">
        <f>'[2]Ad Valorem Taxes'!P39</f>
        <v>0</v>
      </c>
      <c r="U40" s="313">
        <f>'[2]Ad Valorem Taxes'!Q39</f>
        <v>0</v>
      </c>
      <c r="V40" s="30">
        <f t="shared" si="1"/>
        <v>0</v>
      </c>
      <c r="W40" s="53">
        <f t="shared" si="2"/>
        <v>28.86</v>
      </c>
      <c r="X40" s="30">
        <f t="shared" si="3"/>
        <v>3205307</v>
      </c>
      <c r="Y40" s="30">
        <f t="shared" si="4"/>
        <v>34566</v>
      </c>
      <c r="Z40" s="161">
        <f t="shared" si="5"/>
        <v>0</v>
      </c>
      <c r="AA40" s="383">
        <f t="shared" si="6"/>
        <v>31.240579246185412</v>
      </c>
      <c r="AB40" s="624">
        <f t="shared" si="7"/>
        <v>31.240579246185412</v>
      </c>
      <c r="AC40" s="313">
        <f t="shared" si="8"/>
        <v>3239873</v>
      </c>
      <c r="AD40" s="626">
        <f>'[2]Sales Taxes'!C41</f>
        <v>0.015</v>
      </c>
      <c r="AE40" s="628">
        <f>'[2]Sales Taxes'!D41</f>
        <v>4608262</v>
      </c>
      <c r="AF40" s="629">
        <f>'[2]Sales Taxes'!E41</f>
        <v>0</v>
      </c>
      <c r="AG40" s="313">
        <f t="shared" si="9"/>
        <v>4608262</v>
      </c>
      <c r="AH40" s="313">
        <f>ROUND('Table 7 Local Revenue'!AG40/AD40,0)</f>
        <v>307217467</v>
      </c>
      <c r="AI40" s="632">
        <f t="shared" si="10"/>
        <v>0.014999999983724885</v>
      </c>
      <c r="AJ40" s="632">
        <f t="shared" si="11"/>
        <v>0</v>
      </c>
      <c r="AK40" s="671">
        <f>'[2]Other Revenue'!N41</f>
        <v>282480.5</v>
      </c>
      <c r="AL40" s="555">
        <f t="shared" si="12"/>
        <v>8130615.5</v>
      </c>
    </row>
    <row r="41" spans="1:38" ht="12.75">
      <c r="A41" s="42">
        <v>35</v>
      </c>
      <c r="B41" s="267" t="s">
        <v>36</v>
      </c>
      <c r="C41" s="263"/>
      <c r="D41" s="44">
        <f>'[2]2001 Property Assessments'!C40</f>
        <v>149864910</v>
      </c>
      <c r="E41" s="44">
        <f>'[2]2001 Property Assessments'!D40</f>
        <v>38623130</v>
      </c>
      <c r="F41" s="44">
        <f>'[2]2001 Property Assessments'!E40</f>
        <v>111241780</v>
      </c>
      <c r="G41" s="458">
        <f>'[2]Ad Valorem Taxes'!C40</f>
        <v>4.65</v>
      </c>
      <c r="H41" s="315">
        <f>'[2]Ad Valorem Taxes'!D40</f>
        <v>514871</v>
      </c>
      <c r="I41" s="328">
        <f>'[2]Ad Valorem Taxes'!E40</f>
        <v>7</v>
      </c>
      <c r="J41" s="315">
        <f>'[2]Ad Valorem Taxes'!F40</f>
        <v>775073</v>
      </c>
      <c r="K41" s="327">
        <f>'[2]Ad Valorem Taxes'!G40</f>
        <v>6.98</v>
      </c>
      <c r="L41" s="327">
        <f>'[2]Ad Valorem Taxes'!H40</f>
        <v>7</v>
      </c>
      <c r="M41" s="327">
        <f>'[2]Ad Valorem Taxes'!I40</f>
        <v>5</v>
      </c>
      <c r="N41" s="315">
        <f>'[2]Ad Valorem Taxes'!J40</f>
        <v>770761</v>
      </c>
      <c r="O41" s="44">
        <f t="shared" si="0"/>
        <v>2060705</v>
      </c>
      <c r="P41" s="327">
        <f>'[2]Ad Valorem Taxes'!L40</f>
        <v>0</v>
      </c>
      <c r="Q41" s="315">
        <f>'[2]Ad Valorem Taxes'!M40</f>
        <v>0</v>
      </c>
      <c r="R41" s="327">
        <f>'[2]Ad Valorem Taxes'!N40</f>
        <v>23</v>
      </c>
      <c r="S41" s="327">
        <f>'[2]Ad Valorem Taxes'!O40</f>
        <v>48</v>
      </c>
      <c r="T41" s="329">
        <f>'[2]Ad Valorem Taxes'!P40</f>
        <v>3</v>
      </c>
      <c r="U41" s="315">
        <f>'[2]Ad Valorem Taxes'!Q40</f>
        <v>2835260</v>
      </c>
      <c r="V41" s="44">
        <f t="shared" si="1"/>
        <v>2835260</v>
      </c>
      <c r="W41" s="54">
        <f t="shared" si="2"/>
        <v>11.65</v>
      </c>
      <c r="X41" s="44">
        <f t="shared" si="3"/>
        <v>1289944</v>
      </c>
      <c r="Y41" s="44">
        <f t="shared" si="4"/>
        <v>3606021</v>
      </c>
      <c r="Z41" s="162">
        <f t="shared" si="5"/>
        <v>25.487366347428097</v>
      </c>
      <c r="AA41" s="552">
        <f t="shared" si="6"/>
        <v>18.52455974724604</v>
      </c>
      <c r="AB41" s="625">
        <f t="shared" si="7"/>
        <v>44.011926094674145</v>
      </c>
      <c r="AC41" s="315">
        <f t="shared" si="8"/>
        <v>4895965</v>
      </c>
      <c r="AD41" s="627">
        <f>'[2]Sales Taxes'!C42</f>
        <v>0.015</v>
      </c>
      <c r="AE41" s="630">
        <f>'[2]Sales Taxes'!D42</f>
        <v>6649128</v>
      </c>
      <c r="AF41" s="631">
        <f>'[2]Sales Taxes'!E42</f>
        <v>0</v>
      </c>
      <c r="AG41" s="315">
        <f t="shared" si="9"/>
        <v>6649128</v>
      </c>
      <c r="AH41" s="315">
        <f>ROUND('Table 7 Local Revenue'!AG41/AD41,0)</f>
        <v>443275200</v>
      </c>
      <c r="AI41" s="633">
        <f t="shared" si="10"/>
        <v>0.015</v>
      </c>
      <c r="AJ41" s="633">
        <f t="shared" si="11"/>
        <v>0</v>
      </c>
      <c r="AK41" s="672">
        <f>'[2]Other Revenue'!N42</f>
        <v>699268.5</v>
      </c>
      <c r="AL41" s="556">
        <f t="shared" si="12"/>
        <v>12244361.5</v>
      </c>
    </row>
    <row r="42" spans="1:38" ht="12.75">
      <c r="A42" s="28">
        <v>36</v>
      </c>
      <c r="B42" s="266" t="s">
        <v>37</v>
      </c>
      <c r="C42" s="262"/>
      <c r="D42" s="30">
        <f>'[2]2001 Property Assessments'!C41</f>
        <v>2251699142</v>
      </c>
      <c r="E42" s="30">
        <f>'[2]2001 Property Assessments'!D41</f>
        <v>475530514</v>
      </c>
      <c r="F42" s="30">
        <f>'[2]2001 Property Assessments'!E41</f>
        <v>1776168628</v>
      </c>
      <c r="G42" s="457">
        <f>'[2]Ad Valorem Taxes'!C41</f>
        <v>27.65</v>
      </c>
      <c r="H42" s="313">
        <f>'[2]Ad Valorem Taxes'!D41</f>
        <v>45177685</v>
      </c>
      <c r="I42" s="325">
        <f>'[2]Ad Valorem Taxes'!E41</f>
        <v>14.26</v>
      </c>
      <c r="J42" s="313">
        <f>'[2]Ad Valorem Taxes'!F41</f>
        <v>26530398</v>
      </c>
      <c r="K42" s="324">
        <f>'[2]Ad Valorem Taxes'!G41</f>
        <v>0</v>
      </c>
      <c r="L42" s="324">
        <f>'[2]Ad Valorem Taxes'!H41</f>
        <v>0</v>
      </c>
      <c r="M42" s="324">
        <f>'[2]Ad Valorem Taxes'!I41</f>
        <v>7</v>
      </c>
      <c r="N42" s="313">
        <f>'[2]Ad Valorem Taxes'!J41</f>
        <v>0</v>
      </c>
      <c r="O42" s="30">
        <f t="shared" si="0"/>
        <v>71708083</v>
      </c>
      <c r="P42" s="324">
        <f>'[2]Ad Valorem Taxes'!L41</f>
        <v>10.79</v>
      </c>
      <c r="Q42" s="313">
        <f>'[2]Ad Valorem Taxes'!M41</f>
        <v>18461709</v>
      </c>
      <c r="R42" s="324">
        <f>'[2]Ad Valorem Taxes'!N41</f>
        <v>0</v>
      </c>
      <c r="S42" s="324">
        <f>'[2]Ad Valorem Taxes'!O41</f>
        <v>0</v>
      </c>
      <c r="T42" s="326">
        <f>'[2]Ad Valorem Taxes'!P41</f>
        <v>7</v>
      </c>
      <c r="U42" s="313">
        <f>'[2]Ad Valorem Taxes'!Q41</f>
        <v>0</v>
      </c>
      <c r="V42" s="30">
        <f t="shared" si="1"/>
        <v>18461709</v>
      </c>
      <c r="W42" s="53">
        <f t="shared" si="2"/>
        <v>52.699999999999996</v>
      </c>
      <c r="X42" s="30">
        <f t="shared" si="3"/>
        <v>90169792</v>
      </c>
      <c r="Y42" s="30">
        <f t="shared" si="4"/>
        <v>0</v>
      </c>
      <c r="Z42" s="161">
        <f t="shared" si="5"/>
        <v>10.394119515999018</v>
      </c>
      <c r="AA42" s="383">
        <f t="shared" si="6"/>
        <v>40.372339579460245</v>
      </c>
      <c r="AB42" s="624">
        <f t="shared" si="7"/>
        <v>50.76645909545927</v>
      </c>
      <c r="AC42" s="313">
        <f t="shared" si="8"/>
        <v>90169792</v>
      </c>
      <c r="AD42" s="626">
        <f>'[2]Sales Taxes'!C43</f>
        <v>0.015</v>
      </c>
      <c r="AE42" s="628">
        <f>'[2]Sales Taxes'!D43</f>
        <v>83405961</v>
      </c>
      <c r="AF42" s="629">
        <f>'[2]Sales Taxes'!E43</f>
        <v>9267329</v>
      </c>
      <c r="AG42" s="313">
        <f t="shared" si="9"/>
        <v>92673290</v>
      </c>
      <c r="AH42" s="313">
        <f>ROUND('Table 7 Local Revenue'!AG42/AD42,0)</f>
        <v>6178219333</v>
      </c>
      <c r="AI42" s="632">
        <f t="shared" si="10"/>
        <v>0.013500000000728365</v>
      </c>
      <c r="AJ42" s="632">
        <f t="shared" si="11"/>
        <v>0.0015000000000809294</v>
      </c>
      <c r="AK42" s="671">
        <f>'[2]Other Revenue'!N43</f>
        <v>3429618</v>
      </c>
      <c r="AL42" s="555">
        <f t="shared" si="12"/>
        <v>186272700</v>
      </c>
    </row>
    <row r="43" spans="1:38" ht="12.75">
      <c r="A43" s="28">
        <v>37</v>
      </c>
      <c r="B43" s="266" t="s">
        <v>38</v>
      </c>
      <c r="C43" s="262"/>
      <c r="D43" s="30">
        <f>'[2]2001 Property Assessments'!C42</f>
        <v>410450918</v>
      </c>
      <c r="E43" s="30">
        <f>'[2]2001 Property Assessments'!D42</f>
        <v>118684194</v>
      </c>
      <c r="F43" s="30">
        <f>'[2]2001 Property Assessments'!E42</f>
        <v>291766724</v>
      </c>
      <c r="G43" s="457">
        <f>'[2]Ad Valorem Taxes'!C42</f>
        <v>5.17</v>
      </c>
      <c r="H43" s="313">
        <f>'[2]Ad Valorem Taxes'!D42</f>
        <v>1521499</v>
      </c>
      <c r="I43" s="325">
        <f>'[2]Ad Valorem Taxes'!E42</f>
        <v>24.09</v>
      </c>
      <c r="J43" s="313">
        <f>'[2]Ad Valorem Taxes'!F42</f>
        <v>6979080</v>
      </c>
      <c r="K43" s="324">
        <f>'[2]Ad Valorem Taxes'!G42</f>
        <v>0</v>
      </c>
      <c r="L43" s="324">
        <f>'[2]Ad Valorem Taxes'!H42</f>
        <v>0</v>
      </c>
      <c r="M43" s="324">
        <f>'[2]Ad Valorem Taxes'!I42</f>
        <v>0</v>
      </c>
      <c r="N43" s="313">
        <f>'[2]Ad Valorem Taxes'!J42</f>
        <v>0</v>
      </c>
      <c r="O43" s="30">
        <f t="shared" si="0"/>
        <v>8500579</v>
      </c>
      <c r="P43" s="324">
        <f>'[2]Ad Valorem Taxes'!L42</f>
        <v>0</v>
      </c>
      <c r="Q43" s="313">
        <f>'[2]Ad Valorem Taxes'!M42</f>
        <v>0</v>
      </c>
      <c r="R43" s="324">
        <f>'[2]Ad Valorem Taxes'!N42</f>
        <v>18.5</v>
      </c>
      <c r="S43" s="324">
        <f>'[2]Ad Valorem Taxes'!O42</f>
        <v>32.6</v>
      </c>
      <c r="T43" s="326">
        <f>'[2]Ad Valorem Taxes'!P42</f>
        <v>2</v>
      </c>
      <c r="U43" s="313">
        <f>'[2]Ad Valorem Taxes'!Q42</f>
        <v>6773492</v>
      </c>
      <c r="V43" s="30">
        <f t="shared" si="1"/>
        <v>6773492</v>
      </c>
      <c r="W43" s="53">
        <f t="shared" si="2"/>
        <v>29.259999999999998</v>
      </c>
      <c r="X43" s="30">
        <f t="shared" si="3"/>
        <v>8500579</v>
      </c>
      <c r="Y43" s="30">
        <f t="shared" si="4"/>
        <v>6773492</v>
      </c>
      <c r="Z43" s="161">
        <f t="shared" si="5"/>
        <v>23.215437000965196</v>
      </c>
      <c r="AA43" s="383">
        <f t="shared" si="6"/>
        <v>29.134847468075215</v>
      </c>
      <c r="AB43" s="624">
        <f t="shared" si="7"/>
        <v>52.35028446904041</v>
      </c>
      <c r="AC43" s="313">
        <f t="shared" si="8"/>
        <v>15274071</v>
      </c>
      <c r="AD43" s="626">
        <f>'[2]Sales Taxes'!C44</f>
        <v>0.03</v>
      </c>
      <c r="AE43" s="628">
        <f>'[2]Sales Taxes'!D44</f>
        <v>31785965</v>
      </c>
      <c r="AF43" s="629">
        <f>'[2]Sales Taxes'!E44</f>
        <v>0</v>
      </c>
      <c r="AG43" s="313">
        <f t="shared" si="9"/>
        <v>31785965</v>
      </c>
      <c r="AH43" s="313">
        <f>ROUND('Table 7 Local Revenue'!AG43/AD43,0)</f>
        <v>1059532167</v>
      </c>
      <c r="AI43" s="632">
        <f t="shared" si="10"/>
        <v>0.02999999999056187</v>
      </c>
      <c r="AJ43" s="632">
        <f t="shared" si="11"/>
        <v>0</v>
      </c>
      <c r="AK43" s="671">
        <f>'[2]Other Revenue'!N44</f>
        <v>753946</v>
      </c>
      <c r="AL43" s="555">
        <f t="shared" si="12"/>
        <v>47813982</v>
      </c>
    </row>
    <row r="44" spans="1:38" ht="12.75">
      <c r="A44" s="28">
        <v>38</v>
      </c>
      <c r="B44" s="266" t="s">
        <v>39</v>
      </c>
      <c r="C44" s="262"/>
      <c r="D44" s="30">
        <f>'[2]2001 Property Assessments'!C43</f>
        <v>522895865</v>
      </c>
      <c r="E44" s="30">
        <f>'[2]2001 Property Assessments'!D43</f>
        <v>29910265</v>
      </c>
      <c r="F44" s="30">
        <f>'[2]2001 Property Assessments'!E43</f>
        <v>492985600</v>
      </c>
      <c r="G44" s="457">
        <f>'[2]Ad Valorem Taxes'!C43</f>
        <v>6.03</v>
      </c>
      <c r="H44" s="313">
        <f>'[2]Ad Valorem Taxes'!D43</f>
        <v>2699923</v>
      </c>
      <c r="I44" s="325">
        <f>'[2]Ad Valorem Taxes'!E43</f>
        <v>16.97</v>
      </c>
      <c r="J44" s="313">
        <f>'[2]Ad Valorem Taxes'!F43</f>
        <v>7819422</v>
      </c>
      <c r="K44" s="324">
        <f>'[2]Ad Valorem Taxes'!G43</f>
        <v>0</v>
      </c>
      <c r="L44" s="324">
        <f>'[2]Ad Valorem Taxes'!H43</f>
        <v>0</v>
      </c>
      <c r="M44" s="324">
        <f>'[2]Ad Valorem Taxes'!I43</f>
        <v>0</v>
      </c>
      <c r="N44" s="313">
        <f>'[2]Ad Valorem Taxes'!J43</f>
        <v>0</v>
      </c>
      <c r="O44" s="30">
        <f t="shared" si="0"/>
        <v>10519345</v>
      </c>
      <c r="P44" s="324">
        <f>'[2]Ad Valorem Taxes'!L43</f>
        <v>1.7</v>
      </c>
      <c r="Q44" s="313">
        <f>'[2]Ad Valorem Taxes'!M43</f>
        <v>761644</v>
      </c>
      <c r="R44" s="324">
        <f>'[2]Ad Valorem Taxes'!N43</f>
        <v>0</v>
      </c>
      <c r="S44" s="324">
        <f>'[2]Ad Valorem Taxes'!O43</f>
        <v>0</v>
      </c>
      <c r="T44" s="326">
        <f>'[2]Ad Valorem Taxes'!P43</f>
        <v>0</v>
      </c>
      <c r="U44" s="313">
        <f>'[2]Ad Valorem Taxes'!Q43</f>
        <v>0</v>
      </c>
      <c r="V44" s="30">
        <f t="shared" si="1"/>
        <v>761644</v>
      </c>
      <c r="W44" s="53">
        <f t="shared" si="2"/>
        <v>24.7</v>
      </c>
      <c r="X44" s="30">
        <f t="shared" si="3"/>
        <v>11280989</v>
      </c>
      <c r="Y44" s="30">
        <f t="shared" si="4"/>
        <v>0</v>
      </c>
      <c r="Z44" s="161">
        <f t="shared" si="5"/>
        <v>1.5449619623778057</v>
      </c>
      <c r="AA44" s="383">
        <f t="shared" si="6"/>
        <v>21.33803705422633</v>
      </c>
      <c r="AB44" s="624">
        <f t="shared" si="7"/>
        <v>22.882999016604135</v>
      </c>
      <c r="AC44" s="313">
        <f t="shared" si="8"/>
        <v>11280989</v>
      </c>
      <c r="AD44" s="626">
        <f>'[2]Sales Taxes'!C45</f>
        <v>0.02</v>
      </c>
      <c r="AE44" s="628">
        <f>'[2]Sales Taxes'!D45</f>
        <v>9165265</v>
      </c>
      <c r="AF44" s="629">
        <f>'[2]Sales Taxes'!E45</f>
        <v>1116150</v>
      </c>
      <c r="AG44" s="313">
        <f t="shared" si="9"/>
        <v>10281415</v>
      </c>
      <c r="AH44" s="313">
        <f>ROUND('Table 7 Local Revenue'!AG44/AD44,0)</f>
        <v>514070750</v>
      </c>
      <c r="AI44" s="632">
        <f t="shared" si="10"/>
        <v>0.017828800802224206</v>
      </c>
      <c r="AJ44" s="632">
        <f t="shared" si="11"/>
        <v>0.0021711991977757927</v>
      </c>
      <c r="AK44" s="671">
        <f>'[2]Other Revenue'!N45</f>
        <v>122031.5</v>
      </c>
      <c r="AL44" s="555">
        <f t="shared" si="12"/>
        <v>21684435.5</v>
      </c>
    </row>
    <row r="45" spans="1:38" ht="12.75">
      <c r="A45" s="28">
        <v>39</v>
      </c>
      <c r="B45" s="266" t="s">
        <v>40</v>
      </c>
      <c r="C45" s="262"/>
      <c r="D45" s="30">
        <f>'[2]2001 Property Assessments'!C44</f>
        <v>306560897</v>
      </c>
      <c r="E45" s="30">
        <f>'[2]2001 Property Assessments'!D44</f>
        <v>31325066</v>
      </c>
      <c r="F45" s="30">
        <f>'[2]2001 Property Assessments'!E44</f>
        <v>275235831</v>
      </c>
      <c r="G45" s="457">
        <f>'[2]Ad Valorem Taxes'!C44</f>
        <v>4.54</v>
      </c>
      <c r="H45" s="313">
        <f>'[2]Ad Valorem Taxes'!D44</f>
        <v>913570</v>
      </c>
      <c r="I45" s="325">
        <f>'[2]Ad Valorem Taxes'!E44</f>
        <v>11.96</v>
      </c>
      <c r="J45" s="313">
        <f>'[2]Ad Valorem Taxes'!F44</f>
        <v>2406674</v>
      </c>
      <c r="K45" s="324">
        <f>'[2]Ad Valorem Taxes'!G44</f>
        <v>0</v>
      </c>
      <c r="L45" s="324">
        <f>'[2]Ad Valorem Taxes'!H44</f>
        <v>0</v>
      </c>
      <c r="M45" s="324">
        <f>'[2]Ad Valorem Taxes'!I44</f>
        <v>0</v>
      </c>
      <c r="N45" s="313">
        <f>'[2]Ad Valorem Taxes'!J44</f>
        <v>0</v>
      </c>
      <c r="O45" s="30">
        <f t="shared" si="0"/>
        <v>3320244</v>
      </c>
      <c r="P45" s="324">
        <f>'[2]Ad Valorem Taxes'!L44</f>
        <v>0</v>
      </c>
      <c r="Q45" s="313">
        <f>'[2]Ad Valorem Taxes'!M44</f>
        <v>0</v>
      </c>
      <c r="R45" s="324">
        <f>'[2]Ad Valorem Taxes'!N44</f>
        <v>2.56</v>
      </c>
      <c r="S45" s="324">
        <f>'[2]Ad Valorem Taxes'!O44</f>
        <v>12.28</v>
      </c>
      <c r="T45" s="326">
        <f>'[2]Ad Valorem Taxes'!P44</f>
        <v>2</v>
      </c>
      <c r="U45" s="313">
        <f>'[2]Ad Valorem Taxes'!Q44</f>
        <v>636951</v>
      </c>
      <c r="V45" s="30">
        <f t="shared" si="1"/>
        <v>636951</v>
      </c>
      <c r="W45" s="53">
        <f t="shared" si="2"/>
        <v>16.5</v>
      </c>
      <c r="X45" s="30">
        <f t="shared" si="3"/>
        <v>3320244</v>
      </c>
      <c r="Y45" s="30">
        <f t="shared" si="4"/>
        <v>636951</v>
      </c>
      <c r="Z45" s="161">
        <f t="shared" si="5"/>
        <v>2.3142008716154403</v>
      </c>
      <c r="AA45" s="383">
        <f t="shared" si="6"/>
        <v>12.063269480346111</v>
      </c>
      <c r="AB45" s="624">
        <f t="shared" si="7"/>
        <v>14.377470351961552</v>
      </c>
      <c r="AC45" s="313">
        <f t="shared" si="8"/>
        <v>3957195</v>
      </c>
      <c r="AD45" s="626">
        <f>'[2]Sales Taxes'!C46</f>
        <v>0.02</v>
      </c>
      <c r="AE45" s="628">
        <f>'[2]Sales Taxes'!D46</f>
        <v>5351917</v>
      </c>
      <c r="AF45" s="629">
        <f>'[2]Sales Taxes'!E46</f>
        <v>0</v>
      </c>
      <c r="AG45" s="313">
        <f t="shared" si="9"/>
        <v>5351917</v>
      </c>
      <c r="AH45" s="313">
        <f>ROUND('Table 7 Local Revenue'!AG45/AD45,0)</f>
        <v>267595850</v>
      </c>
      <c r="AI45" s="632">
        <f t="shared" si="10"/>
        <v>0.02</v>
      </c>
      <c r="AJ45" s="632">
        <f t="shared" si="11"/>
        <v>0</v>
      </c>
      <c r="AK45" s="671">
        <f>'[2]Other Revenue'!N46</f>
        <v>152739</v>
      </c>
      <c r="AL45" s="555">
        <f t="shared" si="12"/>
        <v>9461851</v>
      </c>
    </row>
    <row r="46" spans="1:38" ht="12.75">
      <c r="A46" s="42">
        <v>40</v>
      </c>
      <c r="B46" s="267" t="s">
        <v>41</v>
      </c>
      <c r="C46" s="263"/>
      <c r="D46" s="44">
        <f>'[2]2001 Property Assessments'!C45</f>
        <v>554835459</v>
      </c>
      <c r="E46" s="44">
        <f>'[2]2001 Property Assessments'!D45</f>
        <v>142058878</v>
      </c>
      <c r="F46" s="44">
        <f>'[2]2001 Property Assessments'!E45</f>
        <v>412776581</v>
      </c>
      <c r="G46" s="458">
        <f>'[2]Ad Valorem Taxes'!C45</f>
        <v>4.77</v>
      </c>
      <c r="H46" s="315">
        <f>'[2]Ad Valorem Taxes'!D45</f>
        <v>1789749</v>
      </c>
      <c r="I46" s="328">
        <f>'[2]Ad Valorem Taxes'!E45</f>
        <v>20.93</v>
      </c>
      <c r="J46" s="315">
        <f>'[2]Ad Valorem Taxes'!F45</f>
        <v>8549387</v>
      </c>
      <c r="K46" s="327">
        <f>'[2]Ad Valorem Taxes'!G45</f>
        <v>3.04</v>
      </c>
      <c r="L46" s="327">
        <f>'[2]Ad Valorem Taxes'!H45</f>
        <v>24.15</v>
      </c>
      <c r="M46" s="327">
        <f>'[2]Ad Valorem Taxes'!I45</f>
        <v>13</v>
      </c>
      <c r="N46" s="315">
        <f>'[2]Ad Valorem Taxes'!J45</f>
        <v>3761883</v>
      </c>
      <c r="O46" s="44">
        <f t="shared" si="0"/>
        <v>14101019</v>
      </c>
      <c r="P46" s="327">
        <f>'[2]Ad Valorem Taxes'!L45</f>
        <v>0</v>
      </c>
      <c r="Q46" s="315">
        <f>'[2]Ad Valorem Taxes'!M45</f>
        <v>0</v>
      </c>
      <c r="R46" s="327">
        <f>'[2]Ad Valorem Taxes'!N45</f>
        <v>5</v>
      </c>
      <c r="S46" s="327">
        <f>'[2]Ad Valorem Taxes'!O45</f>
        <v>86</v>
      </c>
      <c r="T46" s="329">
        <f>'[2]Ad Valorem Taxes'!P45</f>
        <v>13</v>
      </c>
      <c r="U46" s="315">
        <f>'[2]Ad Valorem Taxes'!Q45</f>
        <v>10700246</v>
      </c>
      <c r="V46" s="44">
        <f t="shared" si="1"/>
        <v>10700246</v>
      </c>
      <c r="W46" s="54">
        <f t="shared" si="2"/>
        <v>25.7</v>
      </c>
      <c r="X46" s="44">
        <f t="shared" si="3"/>
        <v>10339136</v>
      </c>
      <c r="Y46" s="44">
        <f t="shared" si="4"/>
        <v>14462129</v>
      </c>
      <c r="Z46" s="162">
        <f t="shared" si="5"/>
        <v>25.922609209266163</v>
      </c>
      <c r="AA46" s="552">
        <f t="shared" si="6"/>
        <v>34.161383298051014</v>
      </c>
      <c r="AB46" s="625">
        <f t="shared" si="7"/>
        <v>60.08399250731717</v>
      </c>
      <c r="AC46" s="315">
        <f t="shared" si="8"/>
        <v>24801265</v>
      </c>
      <c r="AD46" s="627">
        <f>'[2]Sales Taxes'!C47</f>
        <v>0.015</v>
      </c>
      <c r="AE46" s="630">
        <f>'[2]Sales Taxes'!D47</f>
        <v>26666814</v>
      </c>
      <c r="AF46" s="631">
        <f>'[2]Sales Taxes'!E47</f>
        <v>0</v>
      </c>
      <c r="AG46" s="315">
        <f t="shared" si="9"/>
        <v>26666814</v>
      </c>
      <c r="AH46" s="315">
        <f>ROUND('Table 7 Local Revenue'!AG46/AD46,0)</f>
        <v>1777787600</v>
      </c>
      <c r="AI46" s="633">
        <f t="shared" si="10"/>
        <v>0.015</v>
      </c>
      <c r="AJ46" s="633">
        <f t="shared" si="11"/>
        <v>0</v>
      </c>
      <c r="AK46" s="672">
        <f>'[2]Other Revenue'!N47</f>
        <v>1182559</v>
      </c>
      <c r="AL46" s="556">
        <f t="shared" si="12"/>
        <v>52650638</v>
      </c>
    </row>
    <row r="47" spans="1:38" ht="12.75">
      <c r="A47" s="28">
        <v>41</v>
      </c>
      <c r="B47" s="266" t="s">
        <v>42</v>
      </c>
      <c r="C47" s="262"/>
      <c r="D47" s="30">
        <f>'[2]2001 Property Assessments'!C46</f>
        <v>34859970</v>
      </c>
      <c r="E47" s="30">
        <f>'[2]2001 Property Assessments'!D46</f>
        <v>8824460</v>
      </c>
      <c r="F47" s="30">
        <f>'[2]2001 Property Assessments'!E46</f>
        <v>26035510</v>
      </c>
      <c r="G47" s="457">
        <f>'[2]Ad Valorem Taxes'!C46</f>
        <v>4.58</v>
      </c>
      <c r="H47" s="313">
        <f>'[2]Ad Valorem Taxes'!D46</f>
        <v>115686</v>
      </c>
      <c r="I47" s="325">
        <f>'[2]Ad Valorem Taxes'!E46</f>
        <v>36.62</v>
      </c>
      <c r="J47" s="313">
        <f>'[2]Ad Valorem Taxes'!F46</f>
        <v>918718</v>
      </c>
      <c r="K47" s="324">
        <f>'[2]Ad Valorem Taxes'!G46</f>
        <v>0</v>
      </c>
      <c r="L47" s="324">
        <f>'[2]Ad Valorem Taxes'!H46</f>
        <v>0</v>
      </c>
      <c r="M47" s="324">
        <f>'[2]Ad Valorem Taxes'!I46</f>
        <v>0</v>
      </c>
      <c r="N47" s="313">
        <f>'[2]Ad Valorem Taxes'!J46</f>
        <v>0</v>
      </c>
      <c r="O47" s="30">
        <f t="shared" si="0"/>
        <v>1034404</v>
      </c>
      <c r="P47" s="324">
        <f>'[2]Ad Valorem Taxes'!L46</f>
        <v>42</v>
      </c>
      <c r="Q47" s="313">
        <f>'[2]Ad Valorem Taxes'!M46</f>
        <v>1054431</v>
      </c>
      <c r="R47" s="324">
        <f>'[2]Ad Valorem Taxes'!N46</f>
        <v>0</v>
      </c>
      <c r="S47" s="324">
        <f>'[2]Ad Valorem Taxes'!O46</f>
        <v>0</v>
      </c>
      <c r="T47" s="326">
        <f>'[2]Ad Valorem Taxes'!P46</f>
        <v>0</v>
      </c>
      <c r="U47" s="313">
        <f>'[2]Ad Valorem Taxes'!Q46</f>
        <v>0</v>
      </c>
      <c r="V47" s="30">
        <f t="shared" si="1"/>
        <v>1054431</v>
      </c>
      <c r="W47" s="53">
        <f t="shared" si="2"/>
        <v>83.19999999999999</v>
      </c>
      <c r="X47" s="30">
        <f t="shared" si="3"/>
        <v>2088835</v>
      </c>
      <c r="Y47" s="30">
        <f t="shared" si="4"/>
        <v>0</v>
      </c>
      <c r="Z47" s="161">
        <f t="shared" si="5"/>
        <v>40.49972518302887</v>
      </c>
      <c r="AA47" s="383">
        <f t="shared" si="6"/>
        <v>39.73050652743119</v>
      </c>
      <c r="AB47" s="624">
        <f t="shared" si="7"/>
        <v>80.23023171046006</v>
      </c>
      <c r="AC47" s="313">
        <f t="shared" si="8"/>
        <v>2088835</v>
      </c>
      <c r="AD47" s="626">
        <f>'[2]Sales Taxes'!C48</f>
        <v>0.02</v>
      </c>
      <c r="AE47" s="628">
        <f>'[2]Sales Taxes'!D48</f>
        <v>1240228</v>
      </c>
      <c r="AF47" s="629">
        <f>'[2]Sales Taxes'!E48</f>
        <v>0</v>
      </c>
      <c r="AG47" s="313">
        <f t="shared" si="9"/>
        <v>1240228</v>
      </c>
      <c r="AH47" s="313">
        <f>ROUND('Table 7 Local Revenue'!AG47/AD47,0)</f>
        <v>62011400</v>
      </c>
      <c r="AI47" s="632">
        <f t="shared" si="10"/>
        <v>0.02</v>
      </c>
      <c r="AJ47" s="632">
        <f t="shared" si="11"/>
        <v>0</v>
      </c>
      <c r="AK47" s="671">
        <f>'[2]Other Revenue'!N48</f>
        <v>47382.5</v>
      </c>
      <c r="AL47" s="555">
        <f t="shared" si="12"/>
        <v>3376445.5</v>
      </c>
    </row>
    <row r="48" spans="1:38" ht="12.75">
      <c r="A48" s="28">
        <v>42</v>
      </c>
      <c r="B48" s="266" t="s">
        <v>43</v>
      </c>
      <c r="C48" s="262"/>
      <c r="D48" s="30">
        <f>'[2]2001 Property Assessments'!C47</f>
        <v>74799550</v>
      </c>
      <c r="E48" s="30">
        <f>'[2]2001 Property Assessments'!D47</f>
        <v>21635900</v>
      </c>
      <c r="F48" s="30">
        <f>'[2]2001 Property Assessments'!E47</f>
        <v>53163650</v>
      </c>
      <c r="G48" s="457">
        <f>'[2]Ad Valorem Taxes'!C47</f>
        <v>6.42</v>
      </c>
      <c r="H48" s="313">
        <f>'[2]Ad Valorem Taxes'!D47</f>
        <v>337592</v>
      </c>
      <c r="I48" s="325">
        <f>'[2]Ad Valorem Taxes'!E47</f>
        <v>6.87</v>
      </c>
      <c r="J48" s="313">
        <f>'[2]Ad Valorem Taxes'!F47</f>
        <v>361051</v>
      </c>
      <c r="K48" s="324">
        <f>'[2]Ad Valorem Taxes'!G47</f>
        <v>0</v>
      </c>
      <c r="L48" s="324">
        <f>'[2]Ad Valorem Taxes'!H47</f>
        <v>0</v>
      </c>
      <c r="M48" s="324">
        <f>'[2]Ad Valorem Taxes'!I47</f>
        <v>4</v>
      </c>
      <c r="N48" s="313">
        <f>'[2]Ad Valorem Taxes'!J47</f>
        <v>0</v>
      </c>
      <c r="O48" s="30">
        <f t="shared" si="0"/>
        <v>698643</v>
      </c>
      <c r="P48" s="324">
        <f>'[2]Ad Valorem Taxes'!L47</f>
        <v>0</v>
      </c>
      <c r="Q48" s="313">
        <f>'[2]Ad Valorem Taxes'!M47</f>
        <v>0</v>
      </c>
      <c r="R48" s="324">
        <f>'[2]Ad Valorem Taxes'!N47</f>
        <v>30</v>
      </c>
      <c r="S48" s="324">
        <f>'[2]Ad Valorem Taxes'!O47</f>
        <v>54</v>
      </c>
      <c r="T48" s="326">
        <f>'[2]Ad Valorem Taxes'!P47</f>
        <v>4</v>
      </c>
      <c r="U48" s="313">
        <f>'[2]Ad Valorem Taxes'!Q47</f>
        <v>1148736</v>
      </c>
      <c r="V48" s="30">
        <f t="shared" si="1"/>
        <v>1148736</v>
      </c>
      <c r="W48" s="53">
        <f t="shared" si="2"/>
        <v>13.29</v>
      </c>
      <c r="X48" s="30">
        <f t="shared" si="3"/>
        <v>698643</v>
      </c>
      <c r="Y48" s="30">
        <f t="shared" si="4"/>
        <v>1148736</v>
      </c>
      <c r="Z48" s="161">
        <f t="shared" si="5"/>
        <v>21.607545757298457</v>
      </c>
      <c r="AA48" s="383">
        <f t="shared" si="6"/>
        <v>13.14136632830891</v>
      </c>
      <c r="AB48" s="624">
        <f t="shared" si="7"/>
        <v>34.748912085607365</v>
      </c>
      <c r="AC48" s="313">
        <f t="shared" si="8"/>
        <v>1847379</v>
      </c>
      <c r="AD48" s="626">
        <f>'[2]Sales Taxes'!C49</f>
        <v>0.02</v>
      </c>
      <c r="AE48" s="628">
        <f>'[2]Sales Taxes'!D49</f>
        <v>3262975</v>
      </c>
      <c r="AF48" s="629">
        <f>'[2]Sales Taxes'!E49</f>
        <v>0</v>
      </c>
      <c r="AG48" s="313">
        <f t="shared" si="9"/>
        <v>3262975</v>
      </c>
      <c r="AH48" s="313">
        <f>ROUND('Table 7 Local Revenue'!AG48/AD48,0)</f>
        <v>163148750</v>
      </c>
      <c r="AI48" s="632">
        <f t="shared" si="10"/>
        <v>0.02</v>
      </c>
      <c r="AJ48" s="632">
        <f t="shared" si="11"/>
        <v>0</v>
      </c>
      <c r="AK48" s="671">
        <f>'[2]Other Revenue'!N49</f>
        <v>226753</v>
      </c>
      <c r="AL48" s="555">
        <f t="shared" si="12"/>
        <v>5337107</v>
      </c>
    </row>
    <row r="49" spans="1:38" ht="12.75">
      <c r="A49" s="28">
        <v>43</v>
      </c>
      <c r="B49" s="266" t="s">
        <v>44</v>
      </c>
      <c r="C49" s="262"/>
      <c r="D49" s="30">
        <f>'[2]2001 Property Assessments'!C48</f>
        <v>93178850</v>
      </c>
      <c r="E49" s="30">
        <f>'[2]2001 Property Assessments'!D48</f>
        <v>25278600</v>
      </c>
      <c r="F49" s="30">
        <f>'[2]2001 Property Assessments'!E48</f>
        <v>67900250</v>
      </c>
      <c r="G49" s="457">
        <f>'[2]Ad Valorem Taxes'!C48</f>
        <v>4.74</v>
      </c>
      <c r="H49" s="313">
        <f>'[2]Ad Valorem Taxes'!D48</f>
        <v>324833</v>
      </c>
      <c r="I49" s="325">
        <f>'[2]Ad Valorem Taxes'!E48</f>
        <v>8</v>
      </c>
      <c r="J49" s="313">
        <f>'[2]Ad Valorem Taxes'!F48</f>
        <v>548248</v>
      </c>
      <c r="K49" s="324">
        <f>'[2]Ad Valorem Taxes'!G48</f>
        <v>7.44</v>
      </c>
      <c r="L49" s="324">
        <f>'[2]Ad Valorem Taxes'!H48</f>
        <v>12.2</v>
      </c>
      <c r="M49" s="324">
        <f>'[2]Ad Valorem Taxes'!I48</f>
        <v>7</v>
      </c>
      <c r="N49" s="313">
        <f>'[2]Ad Valorem Taxes'!J48</f>
        <v>575598</v>
      </c>
      <c r="O49" s="30">
        <f t="shared" si="0"/>
        <v>1448679</v>
      </c>
      <c r="P49" s="324">
        <f>'[2]Ad Valorem Taxes'!L48</f>
        <v>0</v>
      </c>
      <c r="Q49" s="313">
        <f>'[2]Ad Valorem Taxes'!M48</f>
        <v>0</v>
      </c>
      <c r="R49" s="324">
        <f>'[2]Ad Valorem Taxes'!N48</f>
        <v>16</v>
      </c>
      <c r="S49" s="324">
        <f>'[2]Ad Valorem Taxes'!O48</f>
        <v>58</v>
      </c>
      <c r="T49" s="326">
        <f>'[2]Ad Valorem Taxes'!P48</f>
        <v>7</v>
      </c>
      <c r="U49" s="313">
        <f>'[2]Ad Valorem Taxes'!Q48</f>
        <v>1939107</v>
      </c>
      <c r="V49" s="30">
        <f t="shared" si="1"/>
        <v>1939107</v>
      </c>
      <c r="W49" s="53">
        <f t="shared" si="2"/>
        <v>12.74</v>
      </c>
      <c r="X49" s="30">
        <f t="shared" si="3"/>
        <v>873081</v>
      </c>
      <c r="Y49" s="30">
        <f t="shared" si="4"/>
        <v>2514705</v>
      </c>
      <c r="Z49" s="161">
        <f t="shared" si="5"/>
        <v>28.55817172985372</v>
      </c>
      <c r="AA49" s="383">
        <f t="shared" si="6"/>
        <v>21.33540009057404</v>
      </c>
      <c r="AB49" s="624">
        <f t="shared" si="7"/>
        <v>49.89357182042776</v>
      </c>
      <c r="AC49" s="313">
        <f t="shared" si="8"/>
        <v>3387786</v>
      </c>
      <c r="AD49" s="626">
        <f>'[2]Sales Taxes'!C50</f>
        <v>0.015</v>
      </c>
      <c r="AE49" s="628">
        <f>'[2]Sales Taxes'!D50</f>
        <v>2804117</v>
      </c>
      <c r="AF49" s="629">
        <f>'[2]Sales Taxes'!E50</f>
        <v>569252</v>
      </c>
      <c r="AG49" s="313">
        <f t="shared" si="9"/>
        <v>3373369</v>
      </c>
      <c r="AH49" s="313">
        <f>ROUND('Table 7 Local Revenue'!AG49/AD49,0)</f>
        <v>224891267</v>
      </c>
      <c r="AI49" s="632">
        <f t="shared" si="10"/>
        <v>0.012468767851265652</v>
      </c>
      <c r="AJ49" s="632">
        <f t="shared" si="11"/>
        <v>0.002531232126501382</v>
      </c>
      <c r="AK49" s="671">
        <f>'[2]Other Revenue'!N50</f>
        <v>155164</v>
      </c>
      <c r="AL49" s="555">
        <f t="shared" si="12"/>
        <v>6916319</v>
      </c>
    </row>
    <row r="50" spans="1:38" ht="12.75">
      <c r="A50" s="28">
        <v>44</v>
      </c>
      <c r="B50" s="266" t="s">
        <v>45</v>
      </c>
      <c r="C50" s="262"/>
      <c r="D50" s="30">
        <f>'[2]2001 Property Assessments'!C49</f>
        <v>321169805</v>
      </c>
      <c r="E50" s="30">
        <f>'[2]2001 Property Assessments'!D49</f>
        <v>110426007</v>
      </c>
      <c r="F50" s="30">
        <f>'[2]2001 Property Assessments'!E49</f>
        <v>210743798</v>
      </c>
      <c r="G50" s="457">
        <f>'[2]Ad Valorem Taxes'!C49</f>
        <v>3.75</v>
      </c>
      <c r="H50" s="313">
        <f>'[2]Ad Valorem Taxes'!D49</f>
        <v>777285</v>
      </c>
      <c r="I50" s="325">
        <f>'[2]Ad Valorem Taxes'!E49</f>
        <v>31.25</v>
      </c>
      <c r="J50" s="313">
        <f>'[2]Ad Valorem Taxes'!F49</f>
        <v>6477370</v>
      </c>
      <c r="K50" s="324">
        <f>'[2]Ad Valorem Taxes'!G49</f>
        <v>0</v>
      </c>
      <c r="L50" s="324">
        <f>'[2]Ad Valorem Taxes'!H49</f>
        <v>0</v>
      </c>
      <c r="M50" s="324">
        <f>'[2]Ad Valorem Taxes'!I49</f>
        <v>0</v>
      </c>
      <c r="N50" s="313">
        <f>'[2]Ad Valorem Taxes'!J49</f>
        <v>0</v>
      </c>
      <c r="O50" s="30">
        <f t="shared" si="0"/>
        <v>7254655</v>
      </c>
      <c r="P50" s="324">
        <f>'[2]Ad Valorem Taxes'!L49</f>
        <v>13.23</v>
      </c>
      <c r="Q50" s="313">
        <f>'[2]Ad Valorem Taxes'!M49</f>
        <v>2742306</v>
      </c>
      <c r="R50" s="324">
        <f>'[2]Ad Valorem Taxes'!N49</f>
        <v>0</v>
      </c>
      <c r="S50" s="324">
        <f>'[2]Ad Valorem Taxes'!O49</f>
        <v>0</v>
      </c>
      <c r="T50" s="326">
        <f>'[2]Ad Valorem Taxes'!P49</f>
        <v>0</v>
      </c>
      <c r="U50" s="313">
        <f>'[2]Ad Valorem Taxes'!Q49</f>
        <v>0</v>
      </c>
      <c r="V50" s="30">
        <f t="shared" si="1"/>
        <v>2742306</v>
      </c>
      <c r="W50" s="53">
        <f t="shared" si="2"/>
        <v>48.230000000000004</v>
      </c>
      <c r="X50" s="30">
        <f t="shared" si="3"/>
        <v>9996961</v>
      </c>
      <c r="Y50" s="30">
        <f t="shared" si="4"/>
        <v>0</v>
      </c>
      <c r="Z50" s="161">
        <f t="shared" si="5"/>
        <v>13.012511049079604</v>
      </c>
      <c r="AA50" s="383">
        <f t="shared" si="6"/>
        <v>34.4240498123698</v>
      </c>
      <c r="AB50" s="624">
        <f t="shared" si="7"/>
        <v>47.43656086144941</v>
      </c>
      <c r="AC50" s="313">
        <f t="shared" si="8"/>
        <v>9996961</v>
      </c>
      <c r="AD50" s="626">
        <f>'[2]Sales Taxes'!C51</f>
        <v>0.02</v>
      </c>
      <c r="AE50" s="628">
        <f>'[2]Sales Taxes'!D51</f>
        <v>14161674</v>
      </c>
      <c r="AF50" s="629">
        <f>'[2]Sales Taxes'!E51</f>
        <v>625460</v>
      </c>
      <c r="AG50" s="313">
        <f t="shared" si="9"/>
        <v>14787134</v>
      </c>
      <c r="AH50" s="313">
        <f>ROUND('Table 7 Local Revenue'!AG50/AD50,0)</f>
        <v>739356700</v>
      </c>
      <c r="AI50" s="632">
        <f t="shared" si="10"/>
        <v>0.019154048377461107</v>
      </c>
      <c r="AJ50" s="632">
        <f t="shared" si="11"/>
        <v>0.0008459516225388909</v>
      </c>
      <c r="AK50" s="671">
        <f>'[2]Other Revenue'!N51</f>
        <v>358155.5</v>
      </c>
      <c r="AL50" s="555">
        <f t="shared" si="12"/>
        <v>25142250.5</v>
      </c>
    </row>
    <row r="51" spans="1:38" ht="12.75">
      <c r="A51" s="42">
        <v>45</v>
      </c>
      <c r="B51" s="267" t="s">
        <v>46</v>
      </c>
      <c r="C51" s="263"/>
      <c r="D51" s="44">
        <f>'[2]2001 Property Assessments'!C50</f>
        <v>730890535</v>
      </c>
      <c r="E51" s="44">
        <f>'[2]2001 Property Assessments'!D50</f>
        <v>77712722</v>
      </c>
      <c r="F51" s="44">
        <f>'[2]2001 Property Assessments'!E50</f>
        <v>653177813</v>
      </c>
      <c r="G51" s="458">
        <f>'[2]Ad Valorem Taxes'!C50</f>
        <v>4.1</v>
      </c>
      <c r="H51" s="315">
        <f>'[2]Ad Valorem Taxes'!D50</f>
        <v>3552045</v>
      </c>
      <c r="I51" s="328">
        <f>'[2]Ad Valorem Taxes'!E50</f>
        <v>47.87</v>
      </c>
      <c r="J51" s="315">
        <f>'[2]Ad Valorem Taxes'!F50</f>
        <v>29331635</v>
      </c>
      <c r="K51" s="327">
        <f>'[2]Ad Valorem Taxes'!G50</f>
        <v>47.87</v>
      </c>
      <c r="L51" s="327">
        <f>'[2]Ad Valorem Taxes'!H50</f>
        <v>47.87</v>
      </c>
      <c r="M51" s="327">
        <f>'[2]Ad Valorem Taxes'!I50</f>
        <v>0</v>
      </c>
      <c r="N51" s="315">
        <f>'[2]Ad Valorem Taxes'!J50</f>
        <v>0</v>
      </c>
      <c r="O51" s="44">
        <f t="shared" si="0"/>
        <v>32883680</v>
      </c>
      <c r="P51" s="327">
        <f>'[2]Ad Valorem Taxes'!L50</f>
        <v>6.86</v>
      </c>
      <c r="Q51" s="315">
        <f>'[2]Ad Valorem Taxes'!M50</f>
        <v>4441972</v>
      </c>
      <c r="R51" s="327">
        <f>'[2]Ad Valorem Taxes'!N50</f>
        <v>6.86</v>
      </c>
      <c r="S51" s="327">
        <f>'[2]Ad Valorem Taxes'!O50</f>
        <v>6.86</v>
      </c>
      <c r="T51" s="329">
        <f>'[2]Ad Valorem Taxes'!P50</f>
        <v>0</v>
      </c>
      <c r="U51" s="315">
        <f>'[2]Ad Valorem Taxes'!Q50</f>
        <v>0</v>
      </c>
      <c r="V51" s="44">
        <f t="shared" si="1"/>
        <v>4441972</v>
      </c>
      <c r="W51" s="54">
        <f t="shared" si="2"/>
        <v>58.83</v>
      </c>
      <c r="X51" s="44">
        <f t="shared" si="3"/>
        <v>37325652</v>
      </c>
      <c r="Y51" s="44">
        <f t="shared" si="4"/>
        <v>0</v>
      </c>
      <c r="Z51" s="162">
        <f t="shared" si="5"/>
        <v>6.800555547957658</v>
      </c>
      <c r="AA51" s="552">
        <f t="shared" si="6"/>
        <v>50.34414725290125</v>
      </c>
      <c r="AB51" s="625">
        <f t="shared" si="7"/>
        <v>57.144702800858916</v>
      </c>
      <c r="AC51" s="315">
        <f t="shared" si="8"/>
        <v>37325652</v>
      </c>
      <c r="AD51" s="627">
        <f>'[2]Sales Taxes'!C52</f>
        <v>0.025</v>
      </c>
      <c r="AE51" s="630">
        <f>'[2]Sales Taxes'!D52</f>
        <v>21162253</v>
      </c>
      <c r="AF51" s="631">
        <f>'[2]Sales Taxes'!E52</f>
        <v>1361176</v>
      </c>
      <c r="AG51" s="315">
        <f t="shared" si="9"/>
        <v>22523429</v>
      </c>
      <c r="AH51" s="315">
        <f>ROUND('Table 7 Local Revenue'!AG51/AD51,0)</f>
        <v>900937160</v>
      </c>
      <c r="AI51" s="633">
        <f t="shared" si="10"/>
        <v>0.023489155447867196</v>
      </c>
      <c r="AJ51" s="633">
        <f t="shared" si="11"/>
        <v>0.0015108445521328036</v>
      </c>
      <c r="AK51" s="672">
        <f>'[2]Other Revenue'!N52</f>
        <v>290165</v>
      </c>
      <c r="AL51" s="556">
        <f t="shared" si="12"/>
        <v>60139246</v>
      </c>
    </row>
    <row r="52" spans="1:38" ht="12.75">
      <c r="A52" s="28">
        <v>46</v>
      </c>
      <c r="B52" s="266" t="s">
        <v>47</v>
      </c>
      <c r="C52" s="262"/>
      <c r="D52" s="30">
        <f>'[2]2001 Property Assessments'!C51</f>
        <v>43213040</v>
      </c>
      <c r="E52" s="30">
        <f>'[2]2001 Property Assessments'!D51</f>
        <v>12756360</v>
      </c>
      <c r="F52" s="30">
        <f>'[2]2001 Property Assessments'!E51</f>
        <v>30456680</v>
      </c>
      <c r="G52" s="457">
        <f>'[2]Ad Valorem Taxes'!C51</f>
        <v>3.38</v>
      </c>
      <c r="H52" s="313">
        <f>'[2]Ad Valorem Taxes'!D51</f>
        <v>94283</v>
      </c>
      <c r="I52" s="325">
        <f>'[2]Ad Valorem Taxes'!E51</f>
        <v>14.48</v>
      </c>
      <c r="J52" s="313">
        <f>'[2]Ad Valorem Taxes'!F51</f>
        <v>403766</v>
      </c>
      <c r="K52" s="324">
        <f>'[2]Ad Valorem Taxes'!G51</f>
        <v>0</v>
      </c>
      <c r="L52" s="324">
        <f>'[2]Ad Valorem Taxes'!H51</f>
        <v>0</v>
      </c>
      <c r="M52" s="324">
        <f>'[2]Ad Valorem Taxes'!I51</f>
        <v>6</v>
      </c>
      <c r="N52" s="313">
        <f>'[2]Ad Valorem Taxes'!J51</f>
        <v>0</v>
      </c>
      <c r="O52" s="30">
        <f t="shared" si="0"/>
        <v>498049</v>
      </c>
      <c r="P52" s="324">
        <f>'[2]Ad Valorem Taxes'!L51</f>
        <v>0</v>
      </c>
      <c r="Q52" s="313">
        <f>'[2]Ad Valorem Taxes'!M51</f>
        <v>0</v>
      </c>
      <c r="R52" s="324">
        <f>'[2]Ad Valorem Taxes'!N51</f>
        <v>0</v>
      </c>
      <c r="S52" s="324">
        <f>'[2]Ad Valorem Taxes'!O51</f>
        <v>0</v>
      </c>
      <c r="T52" s="326">
        <f>'[2]Ad Valorem Taxes'!P51</f>
        <v>6</v>
      </c>
      <c r="U52" s="313">
        <f>'[2]Ad Valorem Taxes'!Q51</f>
        <v>0</v>
      </c>
      <c r="V52" s="30">
        <f t="shared" si="1"/>
        <v>0</v>
      </c>
      <c r="W52" s="53">
        <f t="shared" si="2"/>
        <v>17.86</v>
      </c>
      <c r="X52" s="30">
        <f t="shared" si="3"/>
        <v>498049</v>
      </c>
      <c r="Y52" s="30">
        <f t="shared" si="4"/>
        <v>0</v>
      </c>
      <c r="Z52" s="161">
        <f t="shared" si="5"/>
        <v>0</v>
      </c>
      <c r="AA52" s="383">
        <f t="shared" si="6"/>
        <v>16.352701607660453</v>
      </c>
      <c r="AB52" s="624">
        <f t="shared" si="7"/>
        <v>16.352701607660453</v>
      </c>
      <c r="AC52" s="313">
        <f t="shared" si="8"/>
        <v>498049</v>
      </c>
      <c r="AD52" s="626">
        <f>'[2]Sales Taxes'!C53</f>
        <v>0.02</v>
      </c>
      <c r="AE52" s="628">
        <f>'[2]Sales Taxes'!D53</f>
        <v>942408</v>
      </c>
      <c r="AF52" s="629">
        <f>'[2]Sales Taxes'!E53</f>
        <v>0</v>
      </c>
      <c r="AG52" s="313">
        <f t="shared" si="9"/>
        <v>942408</v>
      </c>
      <c r="AH52" s="313">
        <f>ROUND('Table 7 Local Revenue'!AG52/AD52,0)</f>
        <v>47120400</v>
      </c>
      <c r="AI52" s="632">
        <f t="shared" si="10"/>
        <v>0.02</v>
      </c>
      <c r="AJ52" s="632">
        <f t="shared" si="11"/>
        <v>0</v>
      </c>
      <c r="AK52" s="671">
        <f>'[2]Other Revenue'!N53</f>
        <v>34938</v>
      </c>
      <c r="AL52" s="555">
        <f t="shared" si="12"/>
        <v>1475395</v>
      </c>
    </row>
    <row r="53" spans="1:38" ht="12.75">
      <c r="A53" s="28">
        <v>47</v>
      </c>
      <c r="B53" s="266" t="s">
        <v>48</v>
      </c>
      <c r="C53" s="262"/>
      <c r="D53" s="30">
        <f>'[2]2001 Property Assessments'!C52</f>
        <v>247464754</v>
      </c>
      <c r="E53" s="30">
        <f>'[2]2001 Property Assessments'!D52</f>
        <v>29206176</v>
      </c>
      <c r="F53" s="30">
        <f>'[2]2001 Property Assessments'!E52</f>
        <v>218258578</v>
      </c>
      <c r="G53" s="457">
        <f>'[2]Ad Valorem Taxes'!C52</f>
        <v>4.02</v>
      </c>
      <c r="H53" s="313">
        <f>'[2]Ad Valorem Taxes'!D52</f>
        <v>914002</v>
      </c>
      <c r="I53" s="325">
        <f>'[2]Ad Valorem Taxes'!E52</f>
        <v>24.04</v>
      </c>
      <c r="J53" s="313">
        <f>'[2]Ad Valorem Taxes'!F52</f>
        <v>5599599</v>
      </c>
      <c r="K53" s="324">
        <f>'[2]Ad Valorem Taxes'!G52</f>
        <v>0</v>
      </c>
      <c r="L53" s="324">
        <f>'[2]Ad Valorem Taxes'!H52</f>
        <v>0</v>
      </c>
      <c r="M53" s="324">
        <f>'[2]Ad Valorem Taxes'!I52</f>
        <v>0</v>
      </c>
      <c r="N53" s="313">
        <f>'[2]Ad Valorem Taxes'!J52</f>
        <v>0</v>
      </c>
      <c r="O53" s="30">
        <f t="shared" si="0"/>
        <v>6513601</v>
      </c>
      <c r="P53" s="324">
        <f>'[2]Ad Valorem Taxes'!L52</f>
        <v>10</v>
      </c>
      <c r="Q53" s="313">
        <f>'[2]Ad Valorem Taxes'!M52</f>
        <v>2143794</v>
      </c>
      <c r="R53" s="324">
        <f>'[2]Ad Valorem Taxes'!N52</f>
        <v>0</v>
      </c>
      <c r="S53" s="324">
        <f>'[2]Ad Valorem Taxes'!O52</f>
        <v>0</v>
      </c>
      <c r="T53" s="326">
        <f>'[2]Ad Valorem Taxes'!P52</f>
        <v>0</v>
      </c>
      <c r="U53" s="313">
        <f>'[2]Ad Valorem Taxes'!Q52</f>
        <v>0</v>
      </c>
      <c r="V53" s="30">
        <f t="shared" si="1"/>
        <v>2143794</v>
      </c>
      <c r="W53" s="53">
        <f t="shared" si="2"/>
        <v>38.06</v>
      </c>
      <c r="X53" s="30">
        <f t="shared" si="3"/>
        <v>8657395</v>
      </c>
      <c r="Y53" s="30">
        <f t="shared" si="4"/>
        <v>0</v>
      </c>
      <c r="Z53" s="161">
        <f t="shared" si="5"/>
        <v>9.82226687099556</v>
      </c>
      <c r="AA53" s="383">
        <f t="shared" si="6"/>
        <v>29.843505165693877</v>
      </c>
      <c r="AB53" s="624">
        <f t="shared" si="7"/>
        <v>39.66577203668944</v>
      </c>
      <c r="AC53" s="313">
        <f t="shared" si="8"/>
        <v>8657395</v>
      </c>
      <c r="AD53" s="626">
        <f>'[2]Sales Taxes'!C54</f>
        <v>0.02</v>
      </c>
      <c r="AE53" s="628">
        <f>'[2]Sales Taxes'!D54</f>
        <v>10713686</v>
      </c>
      <c r="AF53" s="629">
        <f>'[2]Sales Taxes'!E54</f>
        <v>0</v>
      </c>
      <c r="AG53" s="313">
        <f t="shared" si="9"/>
        <v>10713686</v>
      </c>
      <c r="AH53" s="313">
        <f>ROUND('Table 7 Local Revenue'!AG53/AD53,0)</f>
        <v>535684300</v>
      </c>
      <c r="AI53" s="632">
        <f t="shared" si="10"/>
        <v>0.02</v>
      </c>
      <c r="AJ53" s="632">
        <f t="shared" si="11"/>
        <v>0</v>
      </c>
      <c r="AK53" s="671">
        <f>'[2]Other Revenue'!N54</f>
        <v>88049</v>
      </c>
      <c r="AL53" s="555">
        <f t="shared" si="12"/>
        <v>19459130</v>
      </c>
    </row>
    <row r="54" spans="1:38" ht="12.75">
      <c r="A54" s="28">
        <v>48</v>
      </c>
      <c r="B54" s="266" t="s">
        <v>452</v>
      </c>
      <c r="C54" s="262"/>
      <c r="D54" s="30">
        <f>'[2]2001 Property Assessments'!C53</f>
        <v>236779300</v>
      </c>
      <c r="E54" s="30">
        <f>'[2]2001 Property Assessments'!D53</f>
        <v>64884024</v>
      </c>
      <c r="F54" s="30">
        <f>'[2]2001 Property Assessments'!E53</f>
        <v>171895276</v>
      </c>
      <c r="G54" s="457">
        <f>'[2]Ad Valorem Taxes'!C53</f>
        <v>3.87</v>
      </c>
      <c r="H54" s="313">
        <f>'[2]Ad Valorem Taxes'!D53</f>
        <v>613871</v>
      </c>
      <c r="I54" s="325">
        <f>'[2]Ad Valorem Taxes'!E53</f>
        <v>18.6</v>
      </c>
      <c r="J54" s="313">
        <f>'[2]Ad Valorem Taxes'!F53</f>
        <v>2950427</v>
      </c>
      <c r="K54" s="324">
        <f>'[2]Ad Valorem Taxes'!G53</f>
        <v>0</v>
      </c>
      <c r="L54" s="324">
        <f>'[2]Ad Valorem Taxes'!H53</f>
        <v>0</v>
      </c>
      <c r="M54" s="324">
        <f>'[2]Ad Valorem Taxes'!I53</f>
        <v>0</v>
      </c>
      <c r="N54" s="313">
        <f>'[2]Ad Valorem Taxes'!J53</f>
        <v>0</v>
      </c>
      <c r="O54" s="30">
        <f t="shared" si="0"/>
        <v>3564298</v>
      </c>
      <c r="P54" s="324">
        <f>'[2]Ad Valorem Taxes'!L53</f>
        <v>24.12</v>
      </c>
      <c r="Q54" s="313">
        <f>'[2]Ad Valorem Taxes'!M53</f>
        <v>3955700</v>
      </c>
      <c r="R54" s="324">
        <f>'[2]Ad Valorem Taxes'!N53</f>
        <v>0</v>
      </c>
      <c r="S54" s="324">
        <f>'[2]Ad Valorem Taxes'!O53</f>
        <v>0</v>
      </c>
      <c r="T54" s="326">
        <f>'[2]Ad Valorem Taxes'!P53</f>
        <v>0</v>
      </c>
      <c r="U54" s="313">
        <f>'[2]Ad Valorem Taxes'!Q53</f>
        <v>0</v>
      </c>
      <c r="V54" s="30">
        <f t="shared" si="1"/>
        <v>3955700</v>
      </c>
      <c r="W54" s="53">
        <f t="shared" si="2"/>
        <v>46.59</v>
      </c>
      <c r="X54" s="30">
        <f t="shared" si="3"/>
        <v>7519998</v>
      </c>
      <c r="Y54" s="30">
        <f t="shared" si="4"/>
        <v>0</v>
      </c>
      <c r="Z54" s="161">
        <f t="shared" si="5"/>
        <v>23.012267073587292</v>
      </c>
      <c r="AA54" s="383">
        <f t="shared" si="6"/>
        <v>20.735287687603467</v>
      </c>
      <c r="AB54" s="624">
        <f t="shared" si="7"/>
        <v>43.74755476119076</v>
      </c>
      <c r="AC54" s="313">
        <f t="shared" si="8"/>
        <v>7519998</v>
      </c>
      <c r="AD54" s="626">
        <f>'[2]Sales Taxes'!C55</f>
        <v>0.0225</v>
      </c>
      <c r="AE54" s="628">
        <f>'[2]Sales Taxes'!D55</f>
        <v>12004707</v>
      </c>
      <c r="AF54" s="629">
        <f>'[2]Sales Taxes'!E55</f>
        <v>0</v>
      </c>
      <c r="AG54" s="313">
        <f t="shared" si="9"/>
        <v>12004707</v>
      </c>
      <c r="AH54" s="313">
        <f>ROUND('Table 7 Local Revenue'!AG54/AD54,0)</f>
        <v>533542533</v>
      </c>
      <c r="AI54" s="632">
        <f t="shared" si="10"/>
        <v>0.022500000014056987</v>
      </c>
      <c r="AJ54" s="632">
        <f t="shared" si="11"/>
        <v>0</v>
      </c>
      <c r="AK54" s="671">
        <f>'[2]Other Revenue'!N55</f>
        <v>208475</v>
      </c>
      <c r="AL54" s="555">
        <f t="shared" si="12"/>
        <v>19733180</v>
      </c>
    </row>
    <row r="55" spans="1:38" ht="12.75">
      <c r="A55" s="28">
        <v>49</v>
      </c>
      <c r="B55" s="266" t="s">
        <v>49</v>
      </c>
      <c r="C55" s="262"/>
      <c r="D55" s="30">
        <f>'[2]2001 Property Assessments'!C54</f>
        <v>361043060</v>
      </c>
      <c r="E55" s="30">
        <f>'[2]2001 Property Assessments'!D54</f>
        <v>89435000</v>
      </c>
      <c r="F55" s="30">
        <f>'[2]2001 Property Assessments'!E54</f>
        <v>271608060</v>
      </c>
      <c r="G55" s="457">
        <f>'[2]Ad Valorem Taxes'!C54</f>
        <v>4.5</v>
      </c>
      <c r="H55" s="313">
        <f>'[2]Ad Valorem Taxes'!D54</f>
        <v>1180173</v>
      </c>
      <c r="I55" s="325">
        <f>'[2]Ad Valorem Taxes'!E54</f>
        <v>16.15</v>
      </c>
      <c r="J55" s="313">
        <f>'[2]Ad Valorem Taxes'!F54</f>
        <v>4281312</v>
      </c>
      <c r="K55" s="324">
        <f>'[2]Ad Valorem Taxes'!G54</f>
        <v>0</v>
      </c>
      <c r="L55" s="324">
        <f>'[2]Ad Valorem Taxes'!H54</f>
        <v>0</v>
      </c>
      <c r="M55" s="324">
        <f>'[2]Ad Valorem Taxes'!I54</f>
        <v>0</v>
      </c>
      <c r="N55" s="313">
        <f>'[2]Ad Valorem Taxes'!J54</f>
        <v>0</v>
      </c>
      <c r="O55" s="30">
        <f t="shared" si="0"/>
        <v>5461485</v>
      </c>
      <c r="P55" s="324">
        <f>'[2]Ad Valorem Taxes'!L54</f>
        <v>10.5</v>
      </c>
      <c r="Q55" s="313">
        <f>'[2]Ad Valorem Taxes'!M54</f>
        <v>2664843</v>
      </c>
      <c r="R55" s="324">
        <f>'[2]Ad Valorem Taxes'!N54</f>
        <v>0</v>
      </c>
      <c r="S55" s="324">
        <f>'[2]Ad Valorem Taxes'!O54</f>
        <v>0</v>
      </c>
      <c r="T55" s="326">
        <f>'[2]Ad Valorem Taxes'!P54</f>
        <v>0</v>
      </c>
      <c r="U55" s="313">
        <f>'[2]Ad Valorem Taxes'!Q54</f>
        <v>0</v>
      </c>
      <c r="V55" s="30">
        <f t="shared" si="1"/>
        <v>2664843</v>
      </c>
      <c r="W55" s="53">
        <f t="shared" si="2"/>
        <v>31.15</v>
      </c>
      <c r="X55" s="30">
        <f t="shared" si="3"/>
        <v>8126328</v>
      </c>
      <c r="Y55" s="30">
        <f t="shared" si="4"/>
        <v>0</v>
      </c>
      <c r="Z55" s="161">
        <f t="shared" si="5"/>
        <v>9.811354640948432</v>
      </c>
      <c r="AA55" s="383">
        <f t="shared" si="6"/>
        <v>20.10796365910496</v>
      </c>
      <c r="AB55" s="624">
        <f t="shared" si="7"/>
        <v>29.91931830005339</v>
      </c>
      <c r="AC55" s="313">
        <f t="shared" si="8"/>
        <v>8126328</v>
      </c>
      <c r="AD55" s="626">
        <f>'[2]Sales Taxes'!C56</f>
        <v>0.02</v>
      </c>
      <c r="AE55" s="628">
        <f>'[2]Sales Taxes'!D56</f>
        <v>14559642</v>
      </c>
      <c r="AF55" s="629">
        <f>'[2]Sales Taxes'!E56</f>
        <v>0</v>
      </c>
      <c r="AG55" s="313">
        <f t="shared" si="9"/>
        <v>14559642</v>
      </c>
      <c r="AH55" s="313">
        <f>ROUND('Table 7 Local Revenue'!AG55/AD55,0)</f>
        <v>727982100</v>
      </c>
      <c r="AI55" s="632">
        <f t="shared" si="10"/>
        <v>0.02</v>
      </c>
      <c r="AJ55" s="632">
        <f t="shared" si="11"/>
        <v>0</v>
      </c>
      <c r="AK55" s="671">
        <f>'[2]Other Revenue'!N56</f>
        <v>455546</v>
      </c>
      <c r="AL55" s="555">
        <f t="shared" si="12"/>
        <v>23141516</v>
      </c>
    </row>
    <row r="56" spans="1:38" ht="12.75">
      <c r="A56" s="42">
        <v>50</v>
      </c>
      <c r="B56" s="267" t="s">
        <v>50</v>
      </c>
      <c r="C56" s="263"/>
      <c r="D56" s="44">
        <f>'[2]2001 Property Assessments'!C55</f>
        <v>176400824</v>
      </c>
      <c r="E56" s="44">
        <f>'[2]2001 Property Assessments'!D55</f>
        <v>56558831</v>
      </c>
      <c r="F56" s="44">
        <f>'[2]2001 Property Assessments'!E55</f>
        <v>119841993</v>
      </c>
      <c r="G56" s="458">
        <f>'[2]Ad Valorem Taxes'!C55</f>
        <v>3.14</v>
      </c>
      <c r="H56" s="315">
        <f>'[2]Ad Valorem Taxes'!D55</f>
        <v>400995</v>
      </c>
      <c r="I56" s="328">
        <f>'[2]Ad Valorem Taxes'!E55</f>
        <v>12</v>
      </c>
      <c r="J56" s="315">
        <f>'[2]Ad Valorem Taxes'!F55</f>
        <v>1526381</v>
      </c>
      <c r="K56" s="327">
        <f>'[2]Ad Valorem Taxes'!G55</f>
        <v>0</v>
      </c>
      <c r="L56" s="327">
        <f>'[2]Ad Valorem Taxes'!H55</f>
        <v>0</v>
      </c>
      <c r="M56" s="327">
        <f>'[2]Ad Valorem Taxes'!I55</f>
        <v>0</v>
      </c>
      <c r="N56" s="315">
        <f>'[2]Ad Valorem Taxes'!J55</f>
        <v>0</v>
      </c>
      <c r="O56" s="44">
        <f t="shared" si="0"/>
        <v>1927376</v>
      </c>
      <c r="P56" s="327">
        <f>'[2]Ad Valorem Taxes'!L55</f>
        <v>24</v>
      </c>
      <c r="Q56" s="315">
        <f>'[2]Ad Valorem Taxes'!M55</f>
        <v>3141485</v>
      </c>
      <c r="R56" s="327">
        <f>'[2]Ad Valorem Taxes'!N55</f>
        <v>0</v>
      </c>
      <c r="S56" s="327">
        <f>'[2]Ad Valorem Taxes'!O55</f>
        <v>0</v>
      </c>
      <c r="T56" s="329">
        <f>'[2]Ad Valorem Taxes'!P55</f>
        <v>0</v>
      </c>
      <c r="U56" s="315">
        <f>'[2]Ad Valorem Taxes'!Q55</f>
        <v>0</v>
      </c>
      <c r="V56" s="44">
        <f t="shared" si="1"/>
        <v>3141485</v>
      </c>
      <c r="W56" s="54">
        <f t="shared" si="2"/>
        <v>39.14</v>
      </c>
      <c r="X56" s="44">
        <f t="shared" si="3"/>
        <v>5068861</v>
      </c>
      <c r="Y56" s="44">
        <f t="shared" si="4"/>
        <v>0</v>
      </c>
      <c r="Z56" s="162">
        <f t="shared" si="5"/>
        <v>26.213557713446903</v>
      </c>
      <c r="AA56" s="552">
        <f t="shared" si="6"/>
        <v>16.08264308488261</v>
      </c>
      <c r="AB56" s="625">
        <f t="shared" si="7"/>
        <v>42.296200798329515</v>
      </c>
      <c r="AC56" s="315">
        <f t="shared" si="8"/>
        <v>5068861</v>
      </c>
      <c r="AD56" s="627">
        <f>'[2]Sales Taxes'!C57</f>
        <v>0.02</v>
      </c>
      <c r="AE56" s="630">
        <f>'[2]Sales Taxes'!D57</f>
        <v>7181417</v>
      </c>
      <c r="AF56" s="631">
        <f>'[2]Sales Taxes'!E57</f>
        <v>0</v>
      </c>
      <c r="AG56" s="315">
        <f t="shared" si="9"/>
        <v>7181417</v>
      </c>
      <c r="AH56" s="315">
        <f>ROUND('Table 7 Local Revenue'!AG56/AD56,0)</f>
        <v>359070850</v>
      </c>
      <c r="AI56" s="633">
        <f t="shared" si="10"/>
        <v>0.02</v>
      </c>
      <c r="AJ56" s="633">
        <f t="shared" si="11"/>
        <v>0</v>
      </c>
      <c r="AK56" s="672">
        <f>'[2]Other Revenue'!N57</f>
        <v>510215</v>
      </c>
      <c r="AL56" s="556">
        <f t="shared" si="12"/>
        <v>12760493</v>
      </c>
    </row>
    <row r="57" spans="1:38" ht="12.75">
      <c r="A57" s="28">
        <v>51</v>
      </c>
      <c r="B57" s="266" t="s">
        <v>51</v>
      </c>
      <c r="C57" s="262"/>
      <c r="D57" s="30">
        <f>'[2]2001 Property Assessments'!C56</f>
        <v>315111933</v>
      </c>
      <c r="E57" s="30">
        <f>'[2]2001 Property Assessments'!D56</f>
        <v>57168941</v>
      </c>
      <c r="F57" s="30">
        <f>'[2]2001 Property Assessments'!E56</f>
        <v>257942992</v>
      </c>
      <c r="G57" s="457">
        <f>'[2]Ad Valorem Taxes'!C56</f>
        <v>9.01</v>
      </c>
      <c r="H57" s="313">
        <f>'[2]Ad Valorem Taxes'!D56</f>
        <v>2258492</v>
      </c>
      <c r="I57" s="325">
        <f>'[2]Ad Valorem Taxes'!E56</f>
        <v>11.92</v>
      </c>
      <c r="J57" s="313">
        <f>'[2]Ad Valorem Taxes'!F56</f>
        <v>2987922</v>
      </c>
      <c r="K57" s="324">
        <f>'[2]Ad Valorem Taxes'!G56</f>
        <v>10.87</v>
      </c>
      <c r="L57" s="324">
        <f>'[2]Ad Valorem Taxes'!H56</f>
        <v>14.21</v>
      </c>
      <c r="M57" s="324">
        <f>'[2]Ad Valorem Taxes'!I56</f>
        <v>3</v>
      </c>
      <c r="N57" s="313">
        <f>'[2]Ad Valorem Taxes'!J56</f>
        <v>3185975</v>
      </c>
      <c r="O57" s="30">
        <f t="shared" si="0"/>
        <v>8432389</v>
      </c>
      <c r="P57" s="324">
        <f>'[2]Ad Valorem Taxes'!L56</f>
        <v>0</v>
      </c>
      <c r="Q57" s="313">
        <f>'[2]Ad Valorem Taxes'!M56</f>
        <v>0</v>
      </c>
      <c r="R57" s="324">
        <f>'[2]Ad Valorem Taxes'!N56</f>
        <v>8.5</v>
      </c>
      <c r="S57" s="324">
        <f>'[2]Ad Valorem Taxes'!O56</f>
        <v>26</v>
      </c>
      <c r="T57" s="326">
        <f>'[2]Ad Valorem Taxes'!P56</f>
        <v>2</v>
      </c>
      <c r="U57" s="313">
        <f>'[2]Ad Valorem Taxes'!Q56</f>
        <v>1890876</v>
      </c>
      <c r="V57" s="30">
        <f t="shared" si="1"/>
        <v>1890876</v>
      </c>
      <c r="W57" s="53">
        <f t="shared" si="2"/>
        <v>20.93</v>
      </c>
      <c r="X57" s="30">
        <f t="shared" si="3"/>
        <v>5246414</v>
      </c>
      <c r="Y57" s="30">
        <f t="shared" si="4"/>
        <v>5076851</v>
      </c>
      <c r="Z57" s="161">
        <f t="shared" si="5"/>
        <v>7.330596521885735</v>
      </c>
      <c r="AA57" s="383">
        <f t="shared" si="6"/>
        <v>32.69090171676384</v>
      </c>
      <c r="AB57" s="624">
        <f t="shared" si="7"/>
        <v>40.02149823864957</v>
      </c>
      <c r="AC57" s="313">
        <f t="shared" si="8"/>
        <v>10323265</v>
      </c>
      <c r="AD57" s="626">
        <f>'[2]Sales Taxes'!C58</f>
        <v>0.0175</v>
      </c>
      <c r="AE57" s="628">
        <f>'[2]Sales Taxes'!D58</f>
        <v>12027275</v>
      </c>
      <c r="AF57" s="629">
        <f>'[2]Sales Taxes'!E58</f>
        <v>0</v>
      </c>
      <c r="AG57" s="313">
        <f t="shared" si="9"/>
        <v>12027275</v>
      </c>
      <c r="AH57" s="313">
        <f>ROUND('Table 7 Local Revenue'!AG57/AD57,0)</f>
        <v>687272857</v>
      </c>
      <c r="AI57" s="632">
        <f t="shared" si="10"/>
        <v>0.017500000003637564</v>
      </c>
      <c r="AJ57" s="632">
        <f t="shared" si="11"/>
        <v>0</v>
      </c>
      <c r="AK57" s="671">
        <f>'[2]Other Revenue'!N58</f>
        <v>515180</v>
      </c>
      <c r="AL57" s="555">
        <f t="shared" si="12"/>
        <v>22865720</v>
      </c>
    </row>
    <row r="58" spans="1:38" ht="12.75">
      <c r="A58" s="28">
        <v>52</v>
      </c>
      <c r="B58" s="266" t="s">
        <v>52</v>
      </c>
      <c r="C58" s="262"/>
      <c r="D58" s="30">
        <f>'[2]2001 Property Assessments'!C57</f>
        <v>925570447</v>
      </c>
      <c r="E58" s="30">
        <f>'[2]2001 Property Assessments'!D57</f>
        <v>356568288</v>
      </c>
      <c r="F58" s="30">
        <f>'[2]2001 Property Assessments'!E57</f>
        <v>569002159</v>
      </c>
      <c r="G58" s="457">
        <f>'[2]Ad Valorem Taxes'!C57</f>
        <v>4.47</v>
      </c>
      <c r="H58" s="313">
        <f>'[2]Ad Valorem Taxes'!D57</f>
        <v>2425492</v>
      </c>
      <c r="I58" s="325">
        <f>'[2]Ad Valorem Taxes'!E57</f>
        <v>56.73</v>
      </c>
      <c r="J58" s="313">
        <f>'[2]Ad Valorem Taxes'!F57</f>
        <v>30888762</v>
      </c>
      <c r="K58" s="324">
        <f>'[2]Ad Valorem Taxes'!G57</f>
        <v>0</v>
      </c>
      <c r="L58" s="324">
        <f>'[2]Ad Valorem Taxes'!H57</f>
        <v>0</v>
      </c>
      <c r="M58" s="324">
        <f>'[2]Ad Valorem Taxes'!I57</f>
        <v>0</v>
      </c>
      <c r="N58" s="313">
        <f>'[2]Ad Valorem Taxes'!J57</f>
        <v>0</v>
      </c>
      <c r="O58" s="30">
        <f t="shared" si="0"/>
        <v>33314254</v>
      </c>
      <c r="P58" s="324">
        <f>'[2]Ad Valorem Taxes'!L57</f>
        <v>25.9</v>
      </c>
      <c r="Q58" s="313">
        <f>'[2]Ad Valorem Taxes'!M57</f>
        <v>14098713</v>
      </c>
      <c r="R58" s="324">
        <f>'[2]Ad Valorem Taxes'!N57</f>
        <v>0</v>
      </c>
      <c r="S58" s="324">
        <f>'[2]Ad Valorem Taxes'!O57</f>
        <v>0</v>
      </c>
      <c r="T58" s="326">
        <f>'[2]Ad Valorem Taxes'!P57</f>
        <v>0</v>
      </c>
      <c r="U58" s="313">
        <f>'[2]Ad Valorem Taxes'!Q57</f>
        <v>0</v>
      </c>
      <c r="V58" s="30">
        <f t="shared" si="1"/>
        <v>14098713</v>
      </c>
      <c r="W58" s="53">
        <f t="shared" si="2"/>
        <v>87.1</v>
      </c>
      <c r="X58" s="30">
        <f t="shared" si="3"/>
        <v>47412967</v>
      </c>
      <c r="Y58" s="30">
        <f t="shared" si="4"/>
        <v>0</v>
      </c>
      <c r="Z58" s="161">
        <f t="shared" si="5"/>
        <v>24.77796046464562</v>
      </c>
      <c r="AA58" s="383">
        <f t="shared" si="6"/>
        <v>58.54855464616963</v>
      </c>
      <c r="AB58" s="624">
        <f t="shared" si="7"/>
        <v>83.32651511081525</v>
      </c>
      <c r="AC58" s="313">
        <f t="shared" si="8"/>
        <v>47412967</v>
      </c>
      <c r="AD58" s="626">
        <f>'[2]Sales Taxes'!C59</f>
        <v>0.02</v>
      </c>
      <c r="AE58" s="628">
        <f>'[2]Sales Taxes'!D59</f>
        <v>50857765</v>
      </c>
      <c r="AF58" s="629">
        <f>'[2]Sales Taxes'!E59</f>
        <v>1990000</v>
      </c>
      <c r="AG58" s="313">
        <f t="shared" si="9"/>
        <v>52847765</v>
      </c>
      <c r="AH58" s="313">
        <f>ROUND('Table 7 Local Revenue'!AG58/AD58,0)</f>
        <v>2642388250</v>
      </c>
      <c r="AI58" s="632">
        <f t="shared" si="10"/>
        <v>0.019246893411670296</v>
      </c>
      <c r="AJ58" s="632">
        <f t="shared" si="11"/>
        <v>0.0007531065883297052</v>
      </c>
      <c r="AK58" s="671">
        <f>'[2]Other Revenue'!N59</f>
        <v>1799322</v>
      </c>
      <c r="AL58" s="555">
        <f t="shared" si="12"/>
        <v>102060054</v>
      </c>
    </row>
    <row r="59" spans="1:38" ht="12.75">
      <c r="A59" s="28">
        <v>53</v>
      </c>
      <c r="B59" s="266" t="s">
        <v>53</v>
      </c>
      <c r="C59" s="262"/>
      <c r="D59" s="30">
        <f>'[2]2001 Property Assessments'!C58</f>
        <v>361840385</v>
      </c>
      <c r="E59" s="30">
        <f>'[2]2001 Property Assessments'!D58</f>
        <v>130998306</v>
      </c>
      <c r="F59" s="30">
        <f>'[2]2001 Property Assessments'!E58</f>
        <v>230842079</v>
      </c>
      <c r="G59" s="457">
        <f>'[2]Ad Valorem Taxes'!C58</f>
        <v>4.06</v>
      </c>
      <c r="H59" s="313">
        <f>'[2]Ad Valorem Taxes'!D58</f>
        <v>933814</v>
      </c>
      <c r="I59" s="325">
        <f>'[2]Ad Valorem Taxes'!E58</f>
        <v>0</v>
      </c>
      <c r="J59" s="313">
        <f>'[2]Ad Valorem Taxes'!F58</f>
        <v>0</v>
      </c>
      <c r="K59" s="324">
        <f>'[2]Ad Valorem Taxes'!G58</f>
        <v>0</v>
      </c>
      <c r="L59" s="324">
        <f>'[2]Ad Valorem Taxes'!H58</f>
        <v>3</v>
      </c>
      <c r="M59" s="324">
        <f>'[2]Ad Valorem Taxes'!I58</f>
        <v>1</v>
      </c>
      <c r="N59" s="313">
        <f>'[2]Ad Valorem Taxes'!J58</f>
        <v>379360</v>
      </c>
      <c r="O59" s="30">
        <f t="shared" si="0"/>
        <v>1313174</v>
      </c>
      <c r="P59" s="324">
        <f>'[2]Ad Valorem Taxes'!L58</f>
        <v>0</v>
      </c>
      <c r="Q59" s="313">
        <f>'[2]Ad Valorem Taxes'!M58</f>
        <v>0</v>
      </c>
      <c r="R59" s="324">
        <f>'[2]Ad Valorem Taxes'!N58</f>
        <v>8</v>
      </c>
      <c r="S59" s="324">
        <f>'[2]Ad Valorem Taxes'!O58</f>
        <v>34</v>
      </c>
      <c r="T59" s="326">
        <f>'[2]Ad Valorem Taxes'!P58</f>
        <v>8</v>
      </c>
      <c r="U59" s="313">
        <f>'[2]Ad Valorem Taxes'!Q58</f>
        <v>2671881</v>
      </c>
      <c r="V59" s="30">
        <f t="shared" si="1"/>
        <v>2671881</v>
      </c>
      <c r="W59" s="53">
        <f t="shared" si="2"/>
        <v>4.06</v>
      </c>
      <c r="X59" s="30">
        <f t="shared" si="3"/>
        <v>933814</v>
      </c>
      <c r="Y59" s="30">
        <f t="shared" si="4"/>
        <v>3051241</v>
      </c>
      <c r="Z59" s="161">
        <f t="shared" si="5"/>
        <v>11.574497212875993</v>
      </c>
      <c r="AA59" s="383">
        <f t="shared" si="6"/>
        <v>5.688624906206983</v>
      </c>
      <c r="AB59" s="624">
        <f t="shared" si="7"/>
        <v>17.26312211908298</v>
      </c>
      <c r="AC59" s="313">
        <f t="shared" si="8"/>
        <v>3985055</v>
      </c>
      <c r="AD59" s="626">
        <f>'[2]Sales Taxes'!C60</f>
        <v>0.02</v>
      </c>
      <c r="AE59" s="628">
        <f>'[2]Sales Taxes'!D60</f>
        <v>17024434</v>
      </c>
      <c r="AF59" s="629">
        <f>'[2]Sales Taxes'!E60</f>
        <v>4555850</v>
      </c>
      <c r="AG59" s="313">
        <f t="shared" si="9"/>
        <v>21580284</v>
      </c>
      <c r="AH59" s="313">
        <f>ROUND('Table 7 Local Revenue'!AG59/AD59,0)</f>
        <v>1079014200</v>
      </c>
      <c r="AI59" s="632">
        <f t="shared" si="10"/>
        <v>0.01577776640937626</v>
      </c>
      <c r="AJ59" s="632">
        <f t="shared" si="11"/>
        <v>0.004222233590623738</v>
      </c>
      <c r="AK59" s="671">
        <f>'[2]Other Revenue'!N60</f>
        <v>132380</v>
      </c>
      <c r="AL59" s="555">
        <f t="shared" si="12"/>
        <v>25697719</v>
      </c>
    </row>
    <row r="60" spans="1:38" ht="12.75">
      <c r="A60" s="28">
        <v>54</v>
      </c>
      <c r="B60" s="266" t="s">
        <v>54</v>
      </c>
      <c r="C60" s="262"/>
      <c r="D60" s="30">
        <f>'[2]2001 Property Assessments'!C59</f>
        <v>46102190</v>
      </c>
      <c r="E60" s="30">
        <f>'[2]2001 Property Assessments'!D59</f>
        <v>6280976</v>
      </c>
      <c r="F60" s="30">
        <f>'[2]2001 Property Assessments'!E59</f>
        <v>39821214</v>
      </c>
      <c r="G60" s="457">
        <f>'[2]Ad Valorem Taxes'!C59</f>
        <v>3.94</v>
      </c>
      <c r="H60" s="313">
        <f>'[2]Ad Valorem Taxes'!D59</f>
        <v>156497</v>
      </c>
      <c r="I60" s="325">
        <f>'[2]Ad Valorem Taxes'!E59</f>
        <v>26.36</v>
      </c>
      <c r="J60" s="313">
        <f>'[2]Ad Valorem Taxes'!F59</f>
        <v>1047023</v>
      </c>
      <c r="K60" s="324">
        <f>'[2]Ad Valorem Taxes'!G59</f>
        <v>0</v>
      </c>
      <c r="L60" s="324">
        <f>'[2]Ad Valorem Taxes'!H59</f>
        <v>0</v>
      </c>
      <c r="M60" s="324">
        <f>'[2]Ad Valorem Taxes'!I59</f>
        <v>0</v>
      </c>
      <c r="N60" s="313">
        <f>'[2]Ad Valorem Taxes'!J59</f>
        <v>0</v>
      </c>
      <c r="O60" s="30">
        <f t="shared" si="0"/>
        <v>1203520</v>
      </c>
      <c r="P60" s="324">
        <f>'[2]Ad Valorem Taxes'!L59</f>
        <v>0</v>
      </c>
      <c r="Q60" s="313">
        <f>'[2]Ad Valorem Taxes'!M59</f>
        <v>0</v>
      </c>
      <c r="R60" s="324">
        <f>'[2]Ad Valorem Taxes'!N59</f>
        <v>0</v>
      </c>
      <c r="S60" s="324">
        <f>'[2]Ad Valorem Taxes'!O59</f>
        <v>0</v>
      </c>
      <c r="T60" s="326">
        <f>'[2]Ad Valorem Taxes'!P59</f>
        <v>0</v>
      </c>
      <c r="U60" s="313">
        <f>'[2]Ad Valorem Taxes'!Q59</f>
        <v>0</v>
      </c>
      <c r="V60" s="30">
        <f t="shared" si="1"/>
        <v>0</v>
      </c>
      <c r="W60" s="53">
        <f t="shared" si="2"/>
        <v>30.3</v>
      </c>
      <c r="X60" s="30">
        <f t="shared" si="3"/>
        <v>1203520</v>
      </c>
      <c r="Y60" s="30">
        <f t="shared" si="4"/>
        <v>0</v>
      </c>
      <c r="Z60" s="161">
        <f t="shared" si="5"/>
        <v>0</v>
      </c>
      <c r="AA60" s="383">
        <f t="shared" si="6"/>
        <v>30.223086619107093</v>
      </c>
      <c r="AB60" s="624">
        <f t="shared" si="7"/>
        <v>30.223086619107093</v>
      </c>
      <c r="AC60" s="313">
        <f t="shared" si="8"/>
        <v>1203520</v>
      </c>
      <c r="AD60" s="626">
        <f>'[2]Sales Taxes'!C61</f>
        <v>0.015</v>
      </c>
      <c r="AE60" s="628">
        <f>'[2]Sales Taxes'!D61</f>
        <v>564401</v>
      </c>
      <c r="AF60" s="629">
        <f>'[2]Sales Taxes'!E61</f>
        <v>0</v>
      </c>
      <c r="AG60" s="313">
        <f t="shared" si="9"/>
        <v>564401</v>
      </c>
      <c r="AH60" s="313">
        <f>ROUND('Table 7 Local Revenue'!AG60/AD60,0)</f>
        <v>37626733</v>
      </c>
      <c r="AI60" s="632">
        <f t="shared" si="10"/>
        <v>0.015000000132884245</v>
      </c>
      <c r="AJ60" s="632">
        <f t="shared" si="11"/>
        <v>0</v>
      </c>
      <c r="AK60" s="671">
        <f>'[2]Other Revenue'!N61</f>
        <v>61805.5</v>
      </c>
      <c r="AL60" s="555">
        <f t="shared" si="12"/>
        <v>1829726.5</v>
      </c>
    </row>
    <row r="61" spans="1:38" ht="12.75">
      <c r="A61" s="42">
        <v>55</v>
      </c>
      <c r="B61" s="267" t="s">
        <v>55</v>
      </c>
      <c r="C61" s="263"/>
      <c r="D61" s="44">
        <f>'[2]2001 Property Assessments'!C60</f>
        <v>518268420</v>
      </c>
      <c r="E61" s="44">
        <f>'[2]2001 Property Assessments'!D60</f>
        <v>135668170</v>
      </c>
      <c r="F61" s="44">
        <f>'[2]2001 Property Assessments'!E60</f>
        <v>382600250</v>
      </c>
      <c r="G61" s="458">
        <f>'[2]Ad Valorem Taxes'!C60</f>
        <v>3.86</v>
      </c>
      <c r="H61" s="315">
        <f>'[2]Ad Valorem Taxes'!D60</f>
        <v>1388033</v>
      </c>
      <c r="I61" s="328">
        <f>'[2]Ad Valorem Taxes'!E60</f>
        <v>5.41</v>
      </c>
      <c r="J61" s="315">
        <f>'[2]Ad Valorem Taxes'!F60</f>
        <v>1945351</v>
      </c>
      <c r="K61" s="327">
        <f>'[2]Ad Valorem Taxes'!G60</f>
        <v>0</v>
      </c>
      <c r="L61" s="327">
        <f>'[2]Ad Valorem Taxes'!H60</f>
        <v>0</v>
      </c>
      <c r="M61" s="327">
        <f>'[2]Ad Valorem Taxes'!I60</f>
        <v>0</v>
      </c>
      <c r="N61" s="315">
        <f>'[2]Ad Valorem Taxes'!J60</f>
        <v>0</v>
      </c>
      <c r="O61" s="44">
        <f t="shared" si="0"/>
        <v>3333384</v>
      </c>
      <c r="P61" s="327">
        <f>'[2]Ad Valorem Taxes'!L60</f>
        <v>0</v>
      </c>
      <c r="Q61" s="315">
        <f>'[2]Ad Valorem Taxes'!M60</f>
        <v>5979</v>
      </c>
      <c r="R61" s="327">
        <f>'[2]Ad Valorem Taxes'!N60</f>
        <v>0</v>
      </c>
      <c r="S61" s="327">
        <f>'[2]Ad Valorem Taxes'!O60</f>
        <v>0</v>
      </c>
      <c r="T61" s="329">
        <f>'[2]Ad Valorem Taxes'!P60</f>
        <v>0</v>
      </c>
      <c r="U61" s="315">
        <f>'[2]Ad Valorem Taxes'!Q60</f>
        <v>0</v>
      </c>
      <c r="V61" s="44">
        <f t="shared" si="1"/>
        <v>5979</v>
      </c>
      <c r="W61" s="54">
        <f t="shared" si="2"/>
        <v>9.27</v>
      </c>
      <c r="X61" s="44">
        <f t="shared" si="3"/>
        <v>3339363</v>
      </c>
      <c r="Y61" s="44">
        <f t="shared" si="4"/>
        <v>0</v>
      </c>
      <c r="Z61" s="162">
        <f t="shared" si="5"/>
        <v>0.015627276772558304</v>
      </c>
      <c r="AA61" s="552">
        <f t="shared" si="6"/>
        <v>8.712445953707558</v>
      </c>
      <c r="AB61" s="625">
        <f t="shared" si="7"/>
        <v>8.728073230480115</v>
      </c>
      <c r="AC61" s="315">
        <f t="shared" si="8"/>
        <v>3339363</v>
      </c>
      <c r="AD61" s="627">
        <f>'[2]Sales Taxes'!C62</f>
        <v>0.0208</v>
      </c>
      <c r="AE61" s="630">
        <f>'[2]Sales Taxes'!D62</f>
        <v>33767608</v>
      </c>
      <c r="AF61" s="631">
        <f>'[2]Sales Taxes'!E62</f>
        <v>0</v>
      </c>
      <c r="AG61" s="315">
        <f t="shared" si="9"/>
        <v>33767608</v>
      </c>
      <c r="AH61" s="315">
        <f>ROUND('Table 7 Local Revenue'!AG61/AD61,0)</f>
        <v>1623442692</v>
      </c>
      <c r="AI61" s="633">
        <f t="shared" si="10"/>
        <v>0.020800000003942238</v>
      </c>
      <c r="AJ61" s="633">
        <f t="shared" si="11"/>
        <v>0</v>
      </c>
      <c r="AK61" s="672">
        <f>'[2]Other Revenue'!N62</f>
        <v>353983</v>
      </c>
      <c r="AL61" s="556">
        <f t="shared" si="12"/>
        <v>37460954</v>
      </c>
    </row>
    <row r="62" spans="1:38" ht="12.75">
      <c r="A62" s="28">
        <v>56</v>
      </c>
      <c r="B62" s="266" t="s">
        <v>56</v>
      </c>
      <c r="C62" s="262"/>
      <c r="D62" s="30">
        <f>'[2]2001 Property Assessments'!C61</f>
        <v>98272580</v>
      </c>
      <c r="E62" s="30">
        <f>'[2]2001 Property Assessments'!D61</f>
        <v>25621360</v>
      </c>
      <c r="F62" s="30">
        <f>'[2]2001 Property Assessments'!E61</f>
        <v>72651220</v>
      </c>
      <c r="G62" s="457">
        <f>'[2]Ad Valorem Taxes'!C61</f>
        <v>3.27</v>
      </c>
      <c r="H62" s="313">
        <f>'[2]Ad Valorem Taxes'!D61</f>
        <v>240121</v>
      </c>
      <c r="I62" s="325">
        <f>'[2]Ad Valorem Taxes'!E61</f>
        <v>2.98</v>
      </c>
      <c r="J62" s="313">
        <f>'[2]Ad Valorem Taxes'!F61</f>
        <v>218826</v>
      </c>
      <c r="K62" s="324">
        <f>'[2]Ad Valorem Taxes'!G61</f>
        <v>1.52</v>
      </c>
      <c r="L62" s="324">
        <f>'[2]Ad Valorem Taxes'!H61</f>
        <v>1.72</v>
      </c>
      <c r="M62" s="324">
        <f>'[2]Ad Valorem Taxes'!I61</f>
        <v>9</v>
      </c>
      <c r="N62" s="313">
        <f>'[2]Ad Valorem Taxes'!J61</f>
        <v>114553</v>
      </c>
      <c r="O62" s="30">
        <f t="shared" si="0"/>
        <v>573500</v>
      </c>
      <c r="P62" s="324">
        <f>'[2]Ad Valorem Taxes'!L61</f>
        <v>6.5</v>
      </c>
      <c r="Q62" s="313">
        <f>'[2]Ad Valorem Taxes'!M61</f>
        <v>478156</v>
      </c>
      <c r="R62" s="324">
        <f>'[2]Ad Valorem Taxes'!N61</f>
        <v>0</v>
      </c>
      <c r="S62" s="324">
        <f>'[2]Ad Valorem Taxes'!O61</f>
        <v>0</v>
      </c>
      <c r="T62" s="326">
        <f>'[2]Ad Valorem Taxes'!P61</f>
        <v>0</v>
      </c>
      <c r="U62" s="313">
        <f>'[2]Ad Valorem Taxes'!Q61</f>
        <v>0</v>
      </c>
      <c r="V62" s="30">
        <f t="shared" si="1"/>
        <v>478156</v>
      </c>
      <c r="W62" s="53">
        <f t="shared" si="2"/>
        <v>12.75</v>
      </c>
      <c r="X62" s="30">
        <f t="shared" si="3"/>
        <v>937103</v>
      </c>
      <c r="Y62" s="30">
        <f t="shared" si="4"/>
        <v>114553</v>
      </c>
      <c r="Z62" s="161">
        <f t="shared" si="5"/>
        <v>6.581527467811277</v>
      </c>
      <c r="AA62" s="383">
        <f t="shared" si="6"/>
        <v>7.893879827482594</v>
      </c>
      <c r="AB62" s="624">
        <f t="shared" si="7"/>
        <v>14.475407295293872</v>
      </c>
      <c r="AC62" s="313">
        <f t="shared" si="8"/>
        <v>1051656</v>
      </c>
      <c r="AD62" s="626">
        <f>'[2]Sales Taxes'!C63</f>
        <v>0.02</v>
      </c>
      <c r="AE62" s="628">
        <f>'[2]Sales Taxes'!D63</f>
        <v>3766822</v>
      </c>
      <c r="AF62" s="629">
        <f>'[2]Sales Taxes'!E63</f>
        <v>0</v>
      </c>
      <c r="AG62" s="313">
        <f t="shared" si="9"/>
        <v>3766822</v>
      </c>
      <c r="AH62" s="313">
        <f>ROUND('Table 7 Local Revenue'!AG62/AD62,0)</f>
        <v>188341100</v>
      </c>
      <c r="AI62" s="632">
        <f t="shared" si="10"/>
        <v>0.02</v>
      </c>
      <c r="AJ62" s="632">
        <f t="shared" si="11"/>
        <v>0</v>
      </c>
      <c r="AK62" s="671">
        <f>'[2]Other Revenue'!N63</f>
        <v>155888</v>
      </c>
      <c r="AL62" s="555">
        <f t="shared" si="12"/>
        <v>4974366</v>
      </c>
    </row>
    <row r="63" spans="1:38" ht="12.75">
      <c r="A63" s="28">
        <v>57</v>
      </c>
      <c r="B63" s="266" t="s">
        <v>57</v>
      </c>
      <c r="C63" s="262"/>
      <c r="D63" s="30">
        <f>'[2]2001 Property Assessments'!C62</f>
        <v>253670940</v>
      </c>
      <c r="E63" s="30">
        <f>'[2]2001 Property Assessments'!D62</f>
        <v>62849940</v>
      </c>
      <c r="F63" s="30">
        <f>'[2]2001 Property Assessments'!E62</f>
        <v>190821000</v>
      </c>
      <c r="G63" s="457">
        <f>'[2]Ad Valorem Taxes'!C62</f>
        <v>4.4</v>
      </c>
      <c r="H63" s="313">
        <f>'[2]Ad Valorem Taxes'!D62</f>
        <v>799297</v>
      </c>
      <c r="I63" s="325">
        <f>'[2]Ad Valorem Taxes'!E62</f>
        <v>35</v>
      </c>
      <c r="J63" s="313">
        <f>'[2]Ad Valorem Taxes'!F62</f>
        <v>6357210</v>
      </c>
      <c r="K63" s="324">
        <f>'[2]Ad Valorem Taxes'!G62</f>
        <v>0</v>
      </c>
      <c r="L63" s="324">
        <f>'[2]Ad Valorem Taxes'!H62</f>
        <v>0</v>
      </c>
      <c r="M63" s="324">
        <f>'[2]Ad Valorem Taxes'!I62</f>
        <v>0</v>
      </c>
      <c r="N63" s="313">
        <f>'[2]Ad Valorem Taxes'!J62</f>
        <v>0</v>
      </c>
      <c r="O63" s="30">
        <f t="shared" si="0"/>
        <v>7156507</v>
      </c>
      <c r="P63" s="324">
        <f>'[2]Ad Valorem Taxes'!L62</f>
        <v>1.33</v>
      </c>
      <c r="Q63" s="313">
        <f>'[2]Ad Valorem Taxes'!M62</f>
        <v>242060</v>
      </c>
      <c r="R63" s="324">
        <f>'[2]Ad Valorem Taxes'!N62</f>
        <v>0</v>
      </c>
      <c r="S63" s="324">
        <f>'[2]Ad Valorem Taxes'!O62</f>
        <v>0</v>
      </c>
      <c r="T63" s="326">
        <f>'[2]Ad Valorem Taxes'!P62</f>
        <v>0</v>
      </c>
      <c r="U63" s="313">
        <f>'[2]Ad Valorem Taxes'!Q62</f>
        <v>0</v>
      </c>
      <c r="V63" s="30">
        <f t="shared" si="1"/>
        <v>242060</v>
      </c>
      <c r="W63" s="53">
        <f t="shared" si="2"/>
        <v>40.73</v>
      </c>
      <c r="X63" s="30">
        <f t="shared" si="3"/>
        <v>7398567</v>
      </c>
      <c r="Y63" s="30">
        <f t="shared" si="4"/>
        <v>0</v>
      </c>
      <c r="Z63" s="161">
        <f t="shared" si="5"/>
        <v>1.2685186640883341</v>
      </c>
      <c r="AA63" s="383">
        <f t="shared" si="6"/>
        <v>37.50377054936301</v>
      </c>
      <c r="AB63" s="624">
        <f t="shared" si="7"/>
        <v>38.77228921345135</v>
      </c>
      <c r="AC63" s="313">
        <f t="shared" si="8"/>
        <v>7398567</v>
      </c>
      <c r="AD63" s="626">
        <f>'[2]Sales Taxes'!C64</f>
        <v>0.01</v>
      </c>
      <c r="AE63" s="628">
        <f>'[2]Sales Taxes'!D64</f>
        <v>5621301</v>
      </c>
      <c r="AF63" s="629">
        <f>'[2]Sales Taxes'!E64</f>
        <v>0</v>
      </c>
      <c r="AG63" s="313">
        <f t="shared" si="9"/>
        <v>5621301</v>
      </c>
      <c r="AH63" s="313">
        <f>ROUND('Table 7 Local Revenue'!AG63/AD63,0)</f>
        <v>562130100</v>
      </c>
      <c r="AI63" s="632">
        <f t="shared" si="10"/>
        <v>0.01</v>
      </c>
      <c r="AJ63" s="632">
        <f t="shared" si="11"/>
        <v>0</v>
      </c>
      <c r="AK63" s="671">
        <f>'[2]Other Revenue'!N64</f>
        <v>1875333</v>
      </c>
      <c r="AL63" s="555">
        <f t="shared" si="12"/>
        <v>14895201</v>
      </c>
    </row>
    <row r="64" spans="1:38" ht="12.75">
      <c r="A64" s="28">
        <v>58</v>
      </c>
      <c r="B64" s="266" t="s">
        <v>58</v>
      </c>
      <c r="C64" s="262"/>
      <c r="D64" s="30">
        <f>'[2]2001 Property Assessments'!C63</f>
        <v>116157030</v>
      </c>
      <c r="E64" s="30">
        <f>'[2]2001 Property Assessments'!D63</f>
        <v>33175350</v>
      </c>
      <c r="F64" s="30">
        <f>'[2]2001 Property Assessments'!E63</f>
        <v>82981680</v>
      </c>
      <c r="G64" s="457">
        <f>'[2]Ad Valorem Taxes'!C63</f>
        <v>3.7</v>
      </c>
      <c r="H64" s="313">
        <f>'[2]Ad Valorem Taxes'!D63</f>
        <v>299042</v>
      </c>
      <c r="I64" s="325">
        <f>'[2]Ad Valorem Taxes'!E63</f>
        <v>7.17</v>
      </c>
      <c r="J64" s="313">
        <f>'[2]Ad Valorem Taxes'!F63</f>
        <v>579494</v>
      </c>
      <c r="K64" s="324">
        <f>'[2]Ad Valorem Taxes'!G63</f>
        <v>12.59</v>
      </c>
      <c r="L64" s="324">
        <f>'[2]Ad Valorem Taxes'!H63</f>
        <v>14.53</v>
      </c>
      <c r="M64" s="324">
        <f>'[2]Ad Valorem Taxes'!I63</f>
        <v>9</v>
      </c>
      <c r="N64" s="313">
        <f>'[2]Ad Valorem Taxes'!J63</f>
        <v>1079269</v>
      </c>
      <c r="O64" s="30">
        <f t="shared" si="0"/>
        <v>1957805</v>
      </c>
      <c r="P64" s="324">
        <f>'[2]Ad Valorem Taxes'!L63</f>
        <v>0</v>
      </c>
      <c r="Q64" s="313">
        <f>'[2]Ad Valorem Taxes'!M63</f>
        <v>0</v>
      </c>
      <c r="R64" s="324">
        <f>'[2]Ad Valorem Taxes'!N63</f>
        <v>3.82</v>
      </c>
      <c r="S64" s="324">
        <f>'[2]Ad Valorem Taxes'!O63</f>
        <v>80</v>
      </c>
      <c r="T64" s="326">
        <f>'[2]Ad Valorem Taxes'!P63</f>
        <v>9</v>
      </c>
      <c r="U64" s="313">
        <f>'[2]Ad Valorem Taxes'!Q63</f>
        <v>1216182</v>
      </c>
      <c r="V64" s="30">
        <f t="shared" si="1"/>
        <v>1216182</v>
      </c>
      <c r="W64" s="53">
        <f t="shared" si="2"/>
        <v>10.870000000000001</v>
      </c>
      <c r="X64" s="30">
        <f t="shared" si="3"/>
        <v>878536</v>
      </c>
      <c r="Y64" s="30">
        <f t="shared" si="4"/>
        <v>2295451</v>
      </c>
      <c r="Z64" s="161">
        <f t="shared" si="5"/>
        <v>14.656030102065902</v>
      </c>
      <c r="AA64" s="383">
        <f t="shared" si="6"/>
        <v>23.593219611846855</v>
      </c>
      <c r="AB64" s="624">
        <f t="shared" si="7"/>
        <v>38.249249713912754</v>
      </c>
      <c r="AC64" s="313">
        <f t="shared" si="8"/>
        <v>3173987</v>
      </c>
      <c r="AD64" s="626">
        <f>'[2]Sales Taxes'!C65</f>
        <v>0.02</v>
      </c>
      <c r="AE64" s="628">
        <f>'[2]Sales Taxes'!D65</f>
        <v>7260026</v>
      </c>
      <c r="AF64" s="629">
        <f>'[2]Sales Taxes'!E65</f>
        <v>0</v>
      </c>
      <c r="AG64" s="313">
        <f t="shared" si="9"/>
        <v>7260026</v>
      </c>
      <c r="AH64" s="313">
        <f>ROUND('Table 7 Local Revenue'!AG64/AD64,0)</f>
        <v>363001300</v>
      </c>
      <c r="AI64" s="632">
        <f t="shared" si="10"/>
        <v>0.02</v>
      </c>
      <c r="AJ64" s="632">
        <f t="shared" si="11"/>
        <v>0</v>
      </c>
      <c r="AK64" s="671">
        <f>'[2]Other Revenue'!N65</f>
        <v>588611</v>
      </c>
      <c r="AL64" s="555">
        <f t="shared" si="12"/>
        <v>11022624</v>
      </c>
    </row>
    <row r="65" spans="1:38" ht="12.75">
      <c r="A65" s="28">
        <v>59</v>
      </c>
      <c r="B65" s="266" t="s">
        <v>59</v>
      </c>
      <c r="C65" s="262"/>
      <c r="D65" s="30">
        <f>'[2]2001 Property Assessments'!C64</f>
        <v>78175820</v>
      </c>
      <c r="E65" s="30">
        <f>'[2]2001 Property Assessments'!D64</f>
        <v>29864980</v>
      </c>
      <c r="F65" s="30">
        <f>'[2]2001 Property Assessments'!E64</f>
        <v>48310840</v>
      </c>
      <c r="G65" s="457">
        <f>'[2]Ad Valorem Taxes'!C64</f>
        <v>3.91</v>
      </c>
      <c r="H65" s="313">
        <f>'[2]Ad Valorem Taxes'!D64</f>
        <v>163563</v>
      </c>
      <c r="I65" s="325">
        <f>'[2]Ad Valorem Taxes'!E64</f>
        <v>15.07</v>
      </c>
      <c r="J65" s="313">
        <f>'[2]Ad Valorem Taxes'!F64</f>
        <v>630408</v>
      </c>
      <c r="K65" s="324">
        <f>'[2]Ad Valorem Taxes'!G64</f>
        <v>5.12</v>
      </c>
      <c r="L65" s="324">
        <f>'[2]Ad Valorem Taxes'!H64</f>
        <v>5.12</v>
      </c>
      <c r="M65" s="324">
        <f>'[2]Ad Valorem Taxes'!I64</f>
        <v>1</v>
      </c>
      <c r="N65" s="313">
        <f>'[2]Ad Valorem Taxes'!J64</f>
        <v>11554</v>
      </c>
      <c r="O65" s="30">
        <f t="shared" si="0"/>
        <v>805525</v>
      </c>
      <c r="P65" s="324">
        <f>'[2]Ad Valorem Taxes'!L64</f>
        <v>0</v>
      </c>
      <c r="Q65" s="313">
        <f>'[2]Ad Valorem Taxes'!M64</f>
        <v>0</v>
      </c>
      <c r="R65" s="324">
        <f>'[2]Ad Valorem Taxes'!N64</f>
        <v>19</v>
      </c>
      <c r="S65" s="324">
        <f>'[2]Ad Valorem Taxes'!O64</f>
        <v>42</v>
      </c>
      <c r="T65" s="326">
        <f>'[2]Ad Valorem Taxes'!P64</f>
        <v>2</v>
      </c>
      <c r="U65" s="313">
        <f>'[2]Ad Valorem Taxes'!Q64</f>
        <v>764714</v>
      </c>
      <c r="V65" s="30">
        <f t="shared" si="1"/>
        <v>764714</v>
      </c>
      <c r="W65" s="53">
        <f t="shared" si="2"/>
        <v>18.98</v>
      </c>
      <c r="X65" s="30">
        <f t="shared" si="3"/>
        <v>793971</v>
      </c>
      <c r="Y65" s="30">
        <f t="shared" si="4"/>
        <v>776268</v>
      </c>
      <c r="Z65" s="161">
        <f t="shared" si="5"/>
        <v>15.829035471128218</v>
      </c>
      <c r="AA65" s="383">
        <f t="shared" si="6"/>
        <v>16.67379412156775</v>
      </c>
      <c r="AB65" s="624">
        <f t="shared" si="7"/>
        <v>32.50282959269597</v>
      </c>
      <c r="AC65" s="313">
        <f t="shared" si="8"/>
        <v>1570239</v>
      </c>
      <c r="AD65" s="626">
        <f>'[2]Sales Taxes'!C66</f>
        <v>0.02</v>
      </c>
      <c r="AE65" s="628">
        <f>'[2]Sales Taxes'!D66</f>
        <v>3470550</v>
      </c>
      <c r="AF65" s="629">
        <f>'[2]Sales Taxes'!E66</f>
        <v>0</v>
      </c>
      <c r="AG65" s="313">
        <f t="shared" si="9"/>
        <v>3470550</v>
      </c>
      <c r="AH65" s="313">
        <f>ROUND('Table 7 Local Revenue'!AG65/AD65,0)</f>
        <v>173527500</v>
      </c>
      <c r="AI65" s="632">
        <f t="shared" si="10"/>
        <v>0.02</v>
      </c>
      <c r="AJ65" s="632">
        <f t="shared" si="11"/>
        <v>0</v>
      </c>
      <c r="AK65" s="671">
        <f>'[2]Other Revenue'!N66</f>
        <v>145040</v>
      </c>
      <c r="AL65" s="555">
        <f t="shared" si="12"/>
        <v>5185829</v>
      </c>
    </row>
    <row r="66" spans="1:38" ht="12.75">
      <c r="A66" s="42">
        <v>60</v>
      </c>
      <c r="B66" s="267" t="s">
        <v>60</v>
      </c>
      <c r="C66" s="263"/>
      <c r="D66" s="44">
        <f>'[2]2001 Property Assessments'!C65</f>
        <v>163519055</v>
      </c>
      <c r="E66" s="44">
        <f>'[2]2001 Property Assessments'!D65</f>
        <v>42738220</v>
      </c>
      <c r="F66" s="44">
        <f>'[2]2001 Property Assessments'!E65</f>
        <v>120780835</v>
      </c>
      <c r="G66" s="458">
        <f>'[2]Ad Valorem Taxes'!C65</f>
        <v>5.77</v>
      </c>
      <c r="H66" s="315">
        <f>'[2]Ad Valorem Taxes'!D65</f>
        <v>695148</v>
      </c>
      <c r="I66" s="328">
        <f>'[2]Ad Valorem Taxes'!E65</f>
        <v>13.92</v>
      </c>
      <c r="J66" s="315">
        <f>'[2]Ad Valorem Taxes'!F65</f>
        <v>2180727</v>
      </c>
      <c r="K66" s="327">
        <f>'[2]Ad Valorem Taxes'!G65</f>
        <v>0</v>
      </c>
      <c r="L66" s="327">
        <f>'[2]Ad Valorem Taxes'!H65</f>
        <v>0</v>
      </c>
      <c r="M66" s="327">
        <f>'[2]Ad Valorem Taxes'!I65</f>
        <v>0</v>
      </c>
      <c r="N66" s="315">
        <f>'[2]Ad Valorem Taxes'!J65</f>
        <v>0</v>
      </c>
      <c r="O66" s="44">
        <f t="shared" si="0"/>
        <v>2875875</v>
      </c>
      <c r="P66" s="327">
        <f>'[2]Ad Valorem Taxes'!L65</f>
        <v>0</v>
      </c>
      <c r="Q66" s="315">
        <f>'[2]Ad Valorem Taxes'!M65</f>
        <v>0</v>
      </c>
      <c r="R66" s="327">
        <f>'[2]Ad Valorem Taxes'!N65</f>
        <v>30</v>
      </c>
      <c r="S66" s="327">
        <f>'[2]Ad Valorem Taxes'!O65</f>
        <v>96.13</v>
      </c>
      <c r="T66" s="329">
        <f>'[2]Ad Valorem Taxes'!P65</f>
        <v>7</v>
      </c>
      <c r="U66" s="315">
        <f>'[2]Ad Valorem Taxes'!Q65</f>
        <v>1795647</v>
      </c>
      <c r="V66" s="44">
        <f t="shared" si="1"/>
        <v>1795647</v>
      </c>
      <c r="W66" s="54">
        <f t="shared" si="2"/>
        <v>19.689999999999998</v>
      </c>
      <c r="X66" s="44">
        <f t="shared" si="3"/>
        <v>2875875</v>
      </c>
      <c r="Y66" s="44">
        <f t="shared" si="4"/>
        <v>1795647</v>
      </c>
      <c r="Z66" s="162">
        <f t="shared" si="5"/>
        <v>14.866986140640607</v>
      </c>
      <c r="AA66" s="552">
        <f t="shared" si="6"/>
        <v>23.81068983336636</v>
      </c>
      <c r="AB66" s="625">
        <f t="shared" si="7"/>
        <v>38.677675974006966</v>
      </c>
      <c r="AC66" s="315">
        <f t="shared" si="8"/>
        <v>4671522</v>
      </c>
      <c r="AD66" s="627">
        <f>'[2]Sales Taxes'!C67</f>
        <v>0.02</v>
      </c>
      <c r="AE66" s="630">
        <f>'[2]Sales Taxes'!D67</f>
        <v>8844208</v>
      </c>
      <c r="AF66" s="631">
        <f>'[2]Sales Taxes'!E67</f>
        <v>0</v>
      </c>
      <c r="AG66" s="315">
        <f t="shared" si="9"/>
        <v>8844208</v>
      </c>
      <c r="AH66" s="315">
        <f>ROUND('Table 7 Local Revenue'!AG66/AD66,0)</f>
        <v>442210400</v>
      </c>
      <c r="AI66" s="633">
        <f t="shared" si="10"/>
        <v>0.02</v>
      </c>
      <c r="AJ66" s="633">
        <f t="shared" si="11"/>
        <v>0</v>
      </c>
      <c r="AK66" s="672">
        <f>'[2]Other Revenue'!N67</f>
        <v>424025</v>
      </c>
      <c r="AL66" s="556">
        <f t="shared" si="12"/>
        <v>13939755</v>
      </c>
    </row>
    <row r="67" spans="1:38" ht="12.75">
      <c r="A67" s="28">
        <v>61</v>
      </c>
      <c r="B67" s="266" t="s">
        <v>61</v>
      </c>
      <c r="C67" s="262"/>
      <c r="D67" s="30">
        <f>'[2]2001 Property Assessments'!C66</f>
        <v>210657779</v>
      </c>
      <c r="E67" s="30">
        <f>'[2]2001 Property Assessments'!D66</f>
        <v>29736690</v>
      </c>
      <c r="F67" s="30">
        <f>'[2]2001 Property Assessments'!E66</f>
        <v>180921089</v>
      </c>
      <c r="G67" s="457">
        <f>'[2]Ad Valorem Taxes'!C66</f>
        <v>4.39</v>
      </c>
      <c r="H67" s="313">
        <f>'[2]Ad Valorem Taxes'!D66</f>
        <v>786265</v>
      </c>
      <c r="I67" s="325">
        <f>'[2]Ad Valorem Taxes'!E66</f>
        <v>15</v>
      </c>
      <c r="J67" s="313">
        <f>'[2]Ad Valorem Taxes'!F66</f>
        <v>2686552</v>
      </c>
      <c r="K67" s="324">
        <f>'[2]Ad Valorem Taxes'!G66</f>
        <v>0</v>
      </c>
      <c r="L67" s="324">
        <f>'[2]Ad Valorem Taxes'!H66</f>
        <v>0</v>
      </c>
      <c r="M67" s="324">
        <f>'[2]Ad Valorem Taxes'!I66</f>
        <v>0</v>
      </c>
      <c r="N67" s="313">
        <f>'[2]Ad Valorem Taxes'!J66</f>
        <v>0</v>
      </c>
      <c r="O67" s="30">
        <f t="shared" si="0"/>
        <v>3472817</v>
      </c>
      <c r="P67" s="324">
        <f>'[2]Ad Valorem Taxes'!L66</f>
        <v>9</v>
      </c>
      <c r="Q67" s="313">
        <f>'[2]Ad Valorem Taxes'!M66</f>
        <v>1614226</v>
      </c>
      <c r="R67" s="324">
        <f>'[2]Ad Valorem Taxes'!N66</f>
        <v>0</v>
      </c>
      <c r="S67" s="324">
        <f>'[2]Ad Valorem Taxes'!O66</f>
        <v>0</v>
      </c>
      <c r="T67" s="326">
        <f>'[2]Ad Valorem Taxes'!P66</f>
        <v>0</v>
      </c>
      <c r="U67" s="313">
        <f>'[2]Ad Valorem Taxes'!Q66</f>
        <v>0</v>
      </c>
      <c r="V67" s="30">
        <f t="shared" si="1"/>
        <v>1614226</v>
      </c>
      <c r="W67" s="53">
        <f t="shared" si="2"/>
        <v>28.39</v>
      </c>
      <c r="X67" s="30">
        <f t="shared" si="3"/>
        <v>5087043</v>
      </c>
      <c r="Y67" s="30">
        <f t="shared" si="4"/>
        <v>0</v>
      </c>
      <c r="Z67" s="161">
        <f t="shared" si="5"/>
        <v>8.922265551916947</v>
      </c>
      <c r="AA67" s="383">
        <f t="shared" si="6"/>
        <v>19.19520283232432</v>
      </c>
      <c r="AB67" s="624">
        <f t="shared" si="7"/>
        <v>28.117468384241263</v>
      </c>
      <c r="AC67" s="313">
        <f t="shared" si="8"/>
        <v>5087043</v>
      </c>
      <c r="AD67" s="626">
        <f>'[2]Sales Taxes'!C68</f>
        <v>0.02</v>
      </c>
      <c r="AE67" s="628">
        <f>'[2]Sales Taxes'!D68</f>
        <v>6932730</v>
      </c>
      <c r="AF67" s="629">
        <f>'[2]Sales Taxes'!E68</f>
        <v>0</v>
      </c>
      <c r="AG67" s="313">
        <f t="shared" si="9"/>
        <v>6932730</v>
      </c>
      <c r="AH67" s="313">
        <f>ROUND('Table 7 Local Revenue'!AG67/AD67,0)</f>
        <v>346636500</v>
      </c>
      <c r="AI67" s="632">
        <f t="shared" si="10"/>
        <v>0.02</v>
      </c>
      <c r="AJ67" s="632">
        <f t="shared" si="11"/>
        <v>0</v>
      </c>
      <c r="AK67" s="671">
        <f>'[2]Other Revenue'!N68</f>
        <v>125531</v>
      </c>
      <c r="AL67" s="555">
        <f t="shared" si="12"/>
        <v>12145304</v>
      </c>
    </row>
    <row r="68" spans="1:38" ht="12.75">
      <c r="A68" s="28">
        <v>62</v>
      </c>
      <c r="B68" s="266" t="s">
        <v>62</v>
      </c>
      <c r="C68" s="262"/>
      <c r="D68" s="30">
        <f>'[2]2001 Property Assessments'!C67</f>
        <v>49150022</v>
      </c>
      <c r="E68" s="30">
        <f>'[2]2001 Property Assessments'!D67</f>
        <v>13722460</v>
      </c>
      <c r="F68" s="30">
        <f>'[2]2001 Property Assessments'!E67</f>
        <v>35427562</v>
      </c>
      <c r="G68" s="457">
        <f>'[2]Ad Valorem Taxes'!C67</f>
        <v>6.34</v>
      </c>
      <c r="H68" s="313">
        <f>'[2]Ad Valorem Taxes'!D67</f>
        <v>224298</v>
      </c>
      <c r="I68" s="325">
        <f>'[2]Ad Valorem Taxes'!E67</f>
        <v>17.42</v>
      </c>
      <c r="J68" s="313">
        <f>'[2]Ad Valorem Taxes'!F67</f>
        <v>616287</v>
      </c>
      <c r="K68" s="324">
        <f>'[2]Ad Valorem Taxes'!G67</f>
        <v>5</v>
      </c>
      <c r="L68" s="324">
        <f>'[2]Ad Valorem Taxes'!H67</f>
        <v>5</v>
      </c>
      <c r="M68" s="324">
        <f>'[2]Ad Valorem Taxes'!I67</f>
        <v>1</v>
      </c>
      <c r="N68" s="313">
        <f>'[2]Ad Valorem Taxes'!J67</f>
        <v>78824</v>
      </c>
      <c r="O68" s="30">
        <f t="shared" si="0"/>
        <v>919409</v>
      </c>
      <c r="P68" s="324">
        <f>'[2]Ad Valorem Taxes'!L67</f>
        <v>0</v>
      </c>
      <c r="Q68" s="313">
        <f>'[2]Ad Valorem Taxes'!M67</f>
        <v>0</v>
      </c>
      <c r="R68" s="324">
        <f>'[2]Ad Valorem Taxes'!N67</f>
        <v>0</v>
      </c>
      <c r="S68" s="324">
        <f>'[2]Ad Valorem Taxes'!O67</f>
        <v>0</v>
      </c>
      <c r="T68" s="326">
        <f>'[2]Ad Valorem Taxes'!P67</f>
        <v>0</v>
      </c>
      <c r="U68" s="313">
        <f>'[2]Ad Valorem Taxes'!Q67</f>
        <v>0</v>
      </c>
      <c r="V68" s="30">
        <f t="shared" si="1"/>
        <v>0</v>
      </c>
      <c r="W68" s="53">
        <f t="shared" si="2"/>
        <v>23.76</v>
      </c>
      <c r="X68" s="30">
        <f t="shared" si="3"/>
        <v>840585</v>
      </c>
      <c r="Y68" s="30">
        <f t="shared" si="4"/>
        <v>78824</v>
      </c>
      <c r="Z68" s="161">
        <f t="shared" si="5"/>
        <v>0</v>
      </c>
      <c r="AA68" s="383">
        <f t="shared" si="6"/>
        <v>25.951799900879436</v>
      </c>
      <c r="AB68" s="624">
        <f t="shared" si="7"/>
        <v>25.951799900879436</v>
      </c>
      <c r="AC68" s="313">
        <f t="shared" si="8"/>
        <v>919409</v>
      </c>
      <c r="AD68" s="626">
        <f>'[2]Sales Taxes'!C69</f>
        <v>0.01</v>
      </c>
      <c r="AE68" s="628">
        <f>'[2]Sales Taxes'!D69</f>
        <v>935966</v>
      </c>
      <c r="AF68" s="629">
        <f>'[2]Sales Taxes'!E69</f>
        <v>0</v>
      </c>
      <c r="AG68" s="313">
        <f t="shared" si="9"/>
        <v>935966</v>
      </c>
      <c r="AH68" s="313">
        <f>ROUND('Table 7 Local Revenue'!AG68/AD68,0)</f>
        <v>93596600</v>
      </c>
      <c r="AI68" s="632">
        <f t="shared" si="10"/>
        <v>0.01</v>
      </c>
      <c r="AJ68" s="632">
        <f t="shared" si="11"/>
        <v>0</v>
      </c>
      <c r="AK68" s="671">
        <f>'[2]Other Revenue'!N69</f>
        <v>112522</v>
      </c>
      <c r="AL68" s="555">
        <f t="shared" si="12"/>
        <v>1967897</v>
      </c>
    </row>
    <row r="69" spans="1:38" ht="12.75">
      <c r="A69" s="28">
        <v>63</v>
      </c>
      <c r="B69" s="266" t="s">
        <v>63</v>
      </c>
      <c r="C69" s="262"/>
      <c r="D69" s="30">
        <f>'[2]2001 Property Assessments'!C68</f>
        <v>299014734</v>
      </c>
      <c r="E69" s="30">
        <f>'[2]2001 Property Assessments'!D68</f>
        <v>12147489</v>
      </c>
      <c r="F69" s="30">
        <f>'[2]2001 Property Assessments'!E68</f>
        <v>286867245</v>
      </c>
      <c r="G69" s="457">
        <f>'[2]Ad Valorem Taxes'!C68</f>
        <v>4.46</v>
      </c>
      <c r="H69" s="313">
        <f>'[2]Ad Valorem Taxes'!D68</f>
        <v>1216004</v>
      </c>
      <c r="I69" s="325">
        <f>'[2]Ad Valorem Taxes'!E68</f>
        <v>14.75</v>
      </c>
      <c r="J69" s="313">
        <f>'[2]Ad Valorem Taxes'!F68</f>
        <v>4021524</v>
      </c>
      <c r="K69" s="324">
        <f>'[2]Ad Valorem Taxes'!G68</f>
        <v>0</v>
      </c>
      <c r="L69" s="324">
        <f>'[2]Ad Valorem Taxes'!H68</f>
        <v>0</v>
      </c>
      <c r="M69" s="324">
        <f>'[2]Ad Valorem Taxes'!I68</f>
        <v>0</v>
      </c>
      <c r="N69" s="313">
        <f>'[2]Ad Valorem Taxes'!J68</f>
        <v>0</v>
      </c>
      <c r="O69" s="30">
        <f t="shared" si="0"/>
        <v>5237528</v>
      </c>
      <c r="P69" s="324">
        <f>'[2]Ad Valorem Taxes'!L68</f>
        <v>4</v>
      </c>
      <c r="Q69" s="313">
        <f>'[2]Ad Valorem Taxes'!M68</f>
        <v>1090670</v>
      </c>
      <c r="R69" s="324">
        <f>'[2]Ad Valorem Taxes'!N68</f>
        <v>0</v>
      </c>
      <c r="S69" s="324">
        <f>'[2]Ad Valorem Taxes'!O68</f>
        <v>0</v>
      </c>
      <c r="T69" s="326">
        <f>'[2]Ad Valorem Taxes'!P68</f>
        <v>0</v>
      </c>
      <c r="U69" s="313">
        <f>'[2]Ad Valorem Taxes'!Q68</f>
        <v>0</v>
      </c>
      <c r="V69" s="30">
        <f t="shared" si="1"/>
        <v>1090670</v>
      </c>
      <c r="W69" s="53">
        <f t="shared" si="2"/>
        <v>23.21</v>
      </c>
      <c r="X69" s="30">
        <f t="shared" si="3"/>
        <v>6328198</v>
      </c>
      <c r="Y69" s="30">
        <f t="shared" si="4"/>
        <v>0</v>
      </c>
      <c r="Z69" s="161">
        <f t="shared" si="5"/>
        <v>3.8020025604526584</v>
      </c>
      <c r="AA69" s="383">
        <f t="shared" si="6"/>
        <v>18.257671767301282</v>
      </c>
      <c r="AB69" s="624">
        <f t="shared" si="7"/>
        <v>22.05967432775394</v>
      </c>
      <c r="AC69" s="313">
        <f t="shared" si="8"/>
        <v>6328198</v>
      </c>
      <c r="AD69" s="626">
        <f>'[2]Sales Taxes'!C70</f>
        <v>0.02</v>
      </c>
      <c r="AE69" s="628">
        <f>'[2]Sales Taxes'!D70</f>
        <v>2783562</v>
      </c>
      <c r="AF69" s="629">
        <f>'[2]Sales Taxes'!E70</f>
        <v>0</v>
      </c>
      <c r="AG69" s="313">
        <f t="shared" si="9"/>
        <v>2783562</v>
      </c>
      <c r="AH69" s="313">
        <f>ROUND('Table 7 Local Revenue'!AG69/AD69,0)</f>
        <v>139178100</v>
      </c>
      <c r="AI69" s="632">
        <f t="shared" si="10"/>
        <v>0.02</v>
      </c>
      <c r="AJ69" s="632">
        <f t="shared" si="11"/>
        <v>0</v>
      </c>
      <c r="AK69" s="671">
        <f>'[2]Other Revenue'!N70</f>
        <v>54382.5</v>
      </c>
      <c r="AL69" s="555">
        <f t="shared" si="12"/>
        <v>9166142.5</v>
      </c>
    </row>
    <row r="70" spans="1:38" ht="12.75">
      <c r="A70" s="28">
        <v>64</v>
      </c>
      <c r="B70" s="266" t="s">
        <v>64</v>
      </c>
      <c r="C70" s="262"/>
      <c r="D70" s="30">
        <f>'[2]2001 Property Assessments'!C69</f>
        <v>59859242</v>
      </c>
      <c r="E70" s="30">
        <f>'[2]2001 Property Assessments'!D69</f>
        <v>14276630</v>
      </c>
      <c r="F70" s="30">
        <f>'[2]2001 Property Assessments'!E69</f>
        <v>45582612</v>
      </c>
      <c r="G70" s="457">
        <f>'[2]Ad Valorem Taxes'!C69</f>
        <v>4.76</v>
      </c>
      <c r="H70" s="313">
        <f>'[2]Ad Valorem Taxes'!D69</f>
        <v>207806</v>
      </c>
      <c r="I70" s="325">
        <f>'[2]Ad Valorem Taxes'!E69</f>
        <v>16.62</v>
      </c>
      <c r="J70" s="313">
        <f>'[2]Ad Valorem Taxes'!F69</f>
        <v>727815</v>
      </c>
      <c r="K70" s="324">
        <f>'[2]Ad Valorem Taxes'!G69</f>
        <v>3</v>
      </c>
      <c r="L70" s="324">
        <f>'[2]Ad Valorem Taxes'!H69</f>
        <v>3</v>
      </c>
      <c r="M70" s="324">
        <f>'[2]Ad Valorem Taxes'!I69</f>
        <v>1</v>
      </c>
      <c r="N70" s="313">
        <f>'[2]Ad Valorem Taxes'!J69</f>
        <v>86656</v>
      </c>
      <c r="O70" s="30">
        <f t="shared" si="0"/>
        <v>1022277</v>
      </c>
      <c r="P70" s="324">
        <f>'[2]Ad Valorem Taxes'!L69</f>
        <v>0</v>
      </c>
      <c r="Q70" s="313">
        <f>'[2]Ad Valorem Taxes'!M69</f>
        <v>0</v>
      </c>
      <c r="R70" s="324">
        <f>'[2]Ad Valorem Taxes'!N69</f>
        <v>26</v>
      </c>
      <c r="S70" s="324">
        <f>'[2]Ad Valorem Taxes'!O69</f>
        <v>75</v>
      </c>
      <c r="T70" s="326">
        <f>'[2]Ad Valorem Taxes'!P69</f>
        <v>4</v>
      </c>
      <c r="U70" s="313">
        <f>'[2]Ad Valorem Taxes'!Q69</f>
        <v>1268537</v>
      </c>
      <c r="V70" s="30">
        <f t="shared" si="1"/>
        <v>1268537</v>
      </c>
      <c r="W70" s="53">
        <f t="shared" si="2"/>
        <v>21.380000000000003</v>
      </c>
      <c r="X70" s="30">
        <f t="shared" si="3"/>
        <v>935621</v>
      </c>
      <c r="Y70" s="30">
        <f t="shared" si="4"/>
        <v>1355193</v>
      </c>
      <c r="Z70" s="161">
        <f t="shared" si="5"/>
        <v>27.829405651435685</v>
      </c>
      <c r="AA70" s="383">
        <f t="shared" si="6"/>
        <v>22.426906996904872</v>
      </c>
      <c r="AB70" s="624">
        <f t="shared" si="7"/>
        <v>50.25631264834056</v>
      </c>
      <c r="AC70" s="313">
        <f t="shared" si="8"/>
        <v>2290814</v>
      </c>
      <c r="AD70" s="626">
        <f>'[2]Sales Taxes'!C71</f>
        <v>0.02</v>
      </c>
      <c r="AE70" s="628">
        <f>'[2]Sales Taxes'!D71</f>
        <v>3039911</v>
      </c>
      <c r="AF70" s="629">
        <f>'[2]Sales Taxes'!E71</f>
        <v>0</v>
      </c>
      <c r="AG70" s="313">
        <f t="shared" si="9"/>
        <v>3039911</v>
      </c>
      <c r="AH70" s="313">
        <f>ROUND('Table 7 Local Revenue'!AG70/AD70,0)</f>
        <v>151995550</v>
      </c>
      <c r="AI70" s="632">
        <f t="shared" si="10"/>
        <v>0.02</v>
      </c>
      <c r="AJ70" s="632">
        <f t="shared" si="11"/>
        <v>0</v>
      </c>
      <c r="AK70" s="671">
        <f>'[2]Other Revenue'!N71</f>
        <v>486248.5</v>
      </c>
      <c r="AL70" s="555">
        <f t="shared" si="12"/>
        <v>5816973.5</v>
      </c>
    </row>
    <row r="71" spans="1:38" ht="12.75">
      <c r="A71" s="28">
        <v>65</v>
      </c>
      <c r="B71" s="266" t="s">
        <v>65</v>
      </c>
      <c r="C71" s="262"/>
      <c r="D71" s="30">
        <f>'[2]2001 Property Assessments'!C70</f>
        <v>322587684</v>
      </c>
      <c r="E71" s="30">
        <f>'[2]2001 Property Assessments'!D70</f>
        <v>43456757</v>
      </c>
      <c r="F71" s="30">
        <f>'[2]2001 Property Assessments'!E70</f>
        <v>279130927</v>
      </c>
      <c r="G71" s="457">
        <f>'[2]Ad Valorem Taxes'!C70</f>
        <v>6.34</v>
      </c>
      <c r="H71" s="313">
        <f>'[2]Ad Valorem Taxes'!D70</f>
        <v>1832363</v>
      </c>
      <c r="I71" s="325">
        <f>'[2]Ad Valorem Taxes'!E70</f>
        <v>20.25</v>
      </c>
      <c r="J71" s="313">
        <f>'[2]Ad Valorem Taxes'!F70</f>
        <v>5637541</v>
      </c>
      <c r="K71" s="324">
        <f>'[2]Ad Valorem Taxes'!G70</f>
        <v>0</v>
      </c>
      <c r="L71" s="324">
        <f>'[2]Ad Valorem Taxes'!H70</f>
        <v>0</v>
      </c>
      <c r="M71" s="324">
        <f>'[2]Ad Valorem Taxes'!I70</f>
        <v>0</v>
      </c>
      <c r="N71" s="313">
        <f>'[2]Ad Valorem Taxes'!J70</f>
        <v>0</v>
      </c>
      <c r="O71" s="30">
        <f t="shared" si="0"/>
        <v>7469904</v>
      </c>
      <c r="P71" s="324">
        <f>'[2]Ad Valorem Taxes'!L70</f>
        <v>20.25</v>
      </c>
      <c r="Q71" s="313">
        <f>'[2]Ad Valorem Taxes'!M70</f>
        <v>5686408</v>
      </c>
      <c r="R71" s="324">
        <f>'[2]Ad Valorem Taxes'!N70</f>
        <v>0</v>
      </c>
      <c r="S71" s="324">
        <f>'[2]Ad Valorem Taxes'!O70</f>
        <v>0</v>
      </c>
      <c r="T71" s="326">
        <f>'[2]Ad Valorem Taxes'!P70</f>
        <v>0</v>
      </c>
      <c r="U71" s="313">
        <f>'[2]Ad Valorem Taxes'!Q70</f>
        <v>0</v>
      </c>
      <c r="V71" s="30">
        <f t="shared" si="1"/>
        <v>5686408</v>
      </c>
      <c r="W71" s="53">
        <f t="shared" si="2"/>
        <v>46.84</v>
      </c>
      <c r="X71" s="30">
        <f t="shared" si="3"/>
        <v>13156312</v>
      </c>
      <c r="Y71" s="30">
        <f t="shared" si="4"/>
        <v>0</v>
      </c>
      <c r="Z71" s="161">
        <f t="shared" si="5"/>
        <v>20.371830743069182</v>
      </c>
      <c r="AA71" s="383">
        <f t="shared" si="6"/>
        <v>26.761291127012953</v>
      </c>
      <c r="AB71" s="624">
        <f t="shared" si="7"/>
        <v>47.133121870082135</v>
      </c>
      <c r="AC71" s="313">
        <f t="shared" si="8"/>
        <v>13156312</v>
      </c>
      <c r="AD71" s="626">
        <f>'[2]Sales Taxes'!C72</f>
        <v>0.0175</v>
      </c>
      <c r="AE71" s="628">
        <f>'[2]Sales Taxes'!D72</f>
        <v>19821735</v>
      </c>
      <c r="AF71" s="629">
        <f>'[2]Sales Taxes'!E72</f>
        <v>0</v>
      </c>
      <c r="AG71" s="313">
        <f t="shared" si="9"/>
        <v>19821735</v>
      </c>
      <c r="AH71" s="313">
        <f>ROUND('Table 7 Local Revenue'!AG71/AD71,0)</f>
        <v>1132670571</v>
      </c>
      <c r="AI71" s="632">
        <f t="shared" si="10"/>
        <v>0.01750000000662152</v>
      </c>
      <c r="AJ71" s="632">
        <f t="shared" si="11"/>
        <v>0</v>
      </c>
      <c r="AK71" s="671">
        <f>'[2]Other Revenue'!N72</f>
        <v>322768</v>
      </c>
      <c r="AL71" s="555">
        <f t="shared" si="12"/>
        <v>33300815</v>
      </c>
    </row>
    <row r="72" spans="1:38" ht="12.75">
      <c r="A72" s="28">
        <v>66</v>
      </c>
      <c r="B72" s="266" t="s">
        <v>66</v>
      </c>
      <c r="C72" s="262"/>
      <c r="D72" s="30">
        <f>'[2]2001 Property Assessments'!C71</f>
        <v>73491140</v>
      </c>
      <c r="E72" s="30">
        <f>'[2]2001 Property Assessments'!D71</f>
        <v>19034600</v>
      </c>
      <c r="F72" s="30">
        <f>'[2]2001 Property Assessments'!E71</f>
        <v>54456540</v>
      </c>
      <c r="G72" s="457">
        <f>'[2]Ad Valorem Taxes'!C71</f>
        <v>6.44</v>
      </c>
      <c r="H72" s="313">
        <f>'[2]Ad Valorem Taxes'!D71</f>
        <v>348838</v>
      </c>
      <c r="I72" s="325">
        <f>'[2]Ad Valorem Taxes'!E71</f>
        <v>44.38</v>
      </c>
      <c r="J72" s="313">
        <f>'[2]Ad Valorem Taxes'!F71</f>
        <v>2291615</v>
      </c>
      <c r="K72" s="324">
        <f>'[2]Ad Valorem Taxes'!G71</f>
        <v>0</v>
      </c>
      <c r="L72" s="324">
        <f>'[2]Ad Valorem Taxes'!H71</f>
        <v>0</v>
      </c>
      <c r="M72" s="324">
        <f>'[2]Ad Valorem Taxes'!I71</f>
        <v>0</v>
      </c>
      <c r="N72" s="313">
        <f>'[2]Ad Valorem Taxes'!J71</f>
        <v>0</v>
      </c>
      <c r="O72" s="30">
        <f>H72+J72+N72</f>
        <v>2640453</v>
      </c>
      <c r="P72" s="324">
        <f>'[2]Ad Valorem Taxes'!L71</f>
        <v>0</v>
      </c>
      <c r="Q72" s="313">
        <f>'[2]Ad Valorem Taxes'!M71</f>
        <v>0</v>
      </c>
      <c r="R72" s="324">
        <f>'[2]Ad Valorem Taxes'!N71</f>
        <v>0</v>
      </c>
      <c r="S72" s="324">
        <f>'[2]Ad Valorem Taxes'!O71</f>
        <v>0</v>
      </c>
      <c r="T72" s="326">
        <f>'[2]Ad Valorem Taxes'!P71</f>
        <v>0</v>
      </c>
      <c r="U72" s="313">
        <f>'[2]Ad Valorem Taxes'!Q71</f>
        <v>0</v>
      </c>
      <c r="V72" s="30">
        <f>Q72+U72</f>
        <v>0</v>
      </c>
      <c r="W72" s="53">
        <f>G72+I72+P72</f>
        <v>50.82</v>
      </c>
      <c r="X72" s="30">
        <f t="shared" si="3"/>
        <v>2640453</v>
      </c>
      <c r="Y72" s="30">
        <f t="shared" si="4"/>
        <v>0</v>
      </c>
      <c r="Z72" s="161">
        <f t="shared" si="5"/>
        <v>0</v>
      </c>
      <c r="AA72" s="383">
        <f t="shared" si="6"/>
        <v>48.48734421981272</v>
      </c>
      <c r="AB72" s="624">
        <f>(AC72/F72)*1000</f>
        <v>48.48734421981272</v>
      </c>
      <c r="AC72" s="313">
        <f>O72+V72</f>
        <v>2640453</v>
      </c>
      <c r="AD72" s="626">
        <f>'[2]Sales Taxes'!C73</f>
        <v>0.01</v>
      </c>
      <c r="AE72" s="628">
        <f>'[2]Sales Taxes'!D73</f>
        <v>2228817</v>
      </c>
      <c r="AF72" s="629">
        <f>'[2]Sales Taxes'!E73</f>
        <v>0</v>
      </c>
      <c r="AG72" s="313">
        <f>AE72+AF72</f>
        <v>2228817</v>
      </c>
      <c r="AH72" s="313">
        <f>ROUND('Table 7 Local Revenue'!AG72/AD72,0)</f>
        <v>222881700</v>
      </c>
      <c r="AI72" s="632">
        <f>AE72/AH72</f>
        <v>0.01</v>
      </c>
      <c r="AJ72" s="632">
        <f>AF72/AH72</f>
        <v>0</v>
      </c>
      <c r="AK72" s="671">
        <f>'[2]Other Revenue'!N73</f>
        <v>241839</v>
      </c>
      <c r="AL72" s="555">
        <f>+AK72+AG72+AC72</f>
        <v>5111109</v>
      </c>
    </row>
    <row r="73" spans="1:38" ht="12.75">
      <c r="A73" s="24"/>
      <c r="B73" s="260"/>
      <c r="C73" s="261"/>
      <c r="D73" s="25"/>
      <c r="E73" s="260"/>
      <c r="F73" s="25"/>
      <c r="G73" s="459"/>
      <c r="H73" s="25"/>
      <c r="I73" s="25"/>
      <c r="J73" s="25"/>
      <c r="K73" s="53"/>
      <c r="L73" s="53"/>
      <c r="M73" s="25"/>
      <c r="N73" s="25"/>
      <c r="O73" s="25"/>
      <c r="P73" s="25"/>
      <c r="Q73" s="25"/>
      <c r="R73" s="53"/>
      <c r="S73" s="53"/>
      <c r="T73" s="25"/>
      <c r="U73" s="25"/>
      <c r="V73" s="25"/>
      <c r="W73" s="25"/>
      <c r="X73" s="25" t="s">
        <v>1</v>
      </c>
      <c r="Y73" s="25"/>
      <c r="Z73" s="40"/>
      <c r="AA73" s="384"/>
      <c r="AB73" s="554"/>
      <c r="AC73" s="553"/>
      <c r="AD73" s="559"/>
      <c r="AE73" s="25"/>
      <c r="AF73" s="260"/>
      <c r="AG73" s="520"/>
      <c r="AH73" s="521"/>
      <c r="AI73" s="36"/>
      <c r="AJ73" s="25"/>
      <c r="AK73" s="673"/>
      <c r="AL73" s="557"/>
    </row>
    <row r="74" spans="1:38" ht="13.5" thickBot="1">
      <c r="A74" s="38"/>
      <c r="B74" s="268" t="s">
        <v>67</v>
      </c>
      <c r="C74" s="264"/>
      <c r="D74" s="117">
        <f>SUM(D7:D73)</f>
        <v>23570461896</v>
      </c>
      <c r="E74" s="117">
        <f>SUM(E7:E73)</f>
        <v>5632920943</v>
      </c>
      <c r="F74" s="117">
        <f>SUM(F7:F73)</f>
        <v>17937540953</v>
      </c>
      <c r="G74" s="460"/>
      <c r="H74" s="117">
        <f>SUM(H7:H72)</f>
        <v>120856066</v>
      </c>
      <c r="I74" s="116"/>
      <c r="J74" s="117">
        <f>SUM(J7:J72)</f>
        <v>436812957</v>
      </c>
      <c r="K74" s="116"/>
      <c r="L74" s="116"/>
      <c r="M74" s="116"/>
      <c r="N74" s="117">
        <f>SUM(N7:N72)</f>
        <v>15235312</v>
      </c>
      <c r="O74" s="117">
        <f>SUM(O7:O72)</f>
        <v>572904335</v>
      </c>
      <c r="P74" s="116"/>
      <c r="Q74" s="117">
        <f>SUM(Q7:Q72)</f>
        <v>94668455</v>
      </c>
      <c r="R74" s="116"/>
      <c r="S74" s="116"/>
      <c r="T74" s="116"/>
      <c r="U74" s="117">
        <f>SUM(U7:U72)</f>
        <v>64654933</v>
      </c>
      <c r="V74" s="117">
        <f>SUM(V7:V72)</f>
        <v>159323388</v>
      </c>
      <c r="W74" s="116"/>
      <c r="X74" s="117">
        <f>SUM(X7:X72)</f>
        <v>652337478</v>
      </c>
      <c r="Y74" s="117">
        <f>SUM(Y7:Y72)</f>
        <v>79890245</v>
      </c>
      <c r="Z74" s="163">
        <f>ROUND((V74/F74)*1000,3)</f>
        <v>8.882</v>
      </c>
      <c r="AA74" s="135">
        <f>ROUND((O74/F74)*1000,3)</f>
        <v>31.939</v>
      </c>
      <c r="AB74" s="385">
        <f>(AC74/F74)*1000</f>
        <v>40.820964530120676</v>
      </c>
      <c r="AC74" s="117">
        <f>SUM(AC7:AC72)</f>
        <v>732227723</v>
      </c>
      <c r="AD74" s="560">
        <f>ROUND('Table 7 Local Revenue'!AG74/AH74,4)</f>
        <v>0.0187</v>
      </c>
      <c r="AE74" s="117">
        <f>SUM(AE7:AE72)</f>
        <v>1077416879</v>
      </c>
      <c r="AF74" s="378">
        <f>SUM(AF7:AF72)</f>
        <v>34343050</v>
      </c>
      <c r="AG74" s="333">
        <f>SUM(AG7:AG72)</f>
        <v>1111759929</v>
      </c>
      <c r="AH74" s="333">
        <f>SUM(AH7:AH72)</f>
        <v>59435698887</v>
      </c>
      <c r="AI74" s="127">
        <f>ROUND(AE74/$AH74,4)</f>
        <v>0.0181</v>
      </c>
      <c r="AJ74" s="127">
        <f>ROUND(AF74/$AH74,4)</f>
        <v>0.0006</v>
      </c>
      <c r="AK74" s="378">
        <f>SUM(AK7:AK72)</f>
        <v>35947553</v>
      </c>
      <c r="AL74" s="334">
        <f>SUM(AL7:AL72)</f>
        <v>1879935205</v>
      </c>
    </row>
    <row r="75" ht="13.5" thickTop="1"/>
  </sheetData>
  <mergeCells count="13">
    <mergeCell ref="AK3:AK4"/>
    <mergeCell ref="D3:F3"/>
    <mergeCell ref="G3:H3"/>
    <mergeCell ref="I3:N3"/>
    <mergeCell ref="P3:U3"/>
    <mergeCell ref="O3:O4"/>
    <mergeCell ref="V3:V4"/>
    <mergeCell ref="AG3:AG4"/>
    <mergeCell ref="AH3:AJ3"/>
    <mergeCell ref="D2:E2"/>
    <mergeCell ref="W3:AB3"/>
    <mergeCell ref="AC3:AC4"/>
    <mergeCell ref="AD3:AF3"/>
  </mergeCells>
  <printOptions horizontalCentered="1"/>
  <pageMargins left="0.23" right="0.29" top="1" bottom="0.17" header="0.25" footer="0.4"/>
  <pageSetup firstPageNumber="16" useFirstPageNumber="1" horizontalDpi="600" verticalDpi="600" orientation="portrait" paperSize="5" scale="83" r:id="rId1"/>
  <headerFooter alignWithMargins="0">
    <oddHeader>&amp;L&amp;"Arial,Bold"&amp;18TABLE 7: 2001-2002 LOCAL SALES AND PROPERTY TAX REVENUES</oddHeader>
    <oddFooter>&amp;L&amp;12&amp;[File\ &amp;A&amp;R&amp;12 &amp;P</oddFooter>
  </headerFooter>
  <colBreaks count="5" manualBreakCount="5">
    <brk id="8" max="65535" man="1"/>
    <brk id="15" min="6" max="73" man="1"/>
    <brk id="22" min="6" max="73" man="1"/>
    <brk id="29" min="6" max="73" man="1"/>
    <brk id="36" min="6" max="7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L83"/>
  <sheetViews>
    <sheetView workbookViewId="0" topLeftCell="A1">
      <selection activeCell="U2" sqref="U2"/>
    </sheetView>
  </sheetViews>
  <sheetFormatPr defaultColWidth="9.140625" defaultRowHeight="12.75"/>
  <cols>
    <col min="1" max="1" width="4.57421875" style="0" bestFit="1" customWidth="1"/>
    <col min="2" max="2" width="23.7109375" style="0" bestFit="1" customWidth="1"/>
    <col min="3" max="17" width="7.7109375" style="0" customWidth="1"/>
    <col min="18" max="18" width="5.28125" style="0" bestFit="1" customWidth="1"/>
    <col min="19" max="19" width="5.28125" style="0" customWidth="1"/>
    <col min="20" max="20" width="9.00390625" style="0" bestFit="1" customWidth="1"/>
    <col min="22" max="22" width="1.28515625" style="204" customWidth="1"/>
    <col min="23" max="23" width="9.8515625" style="0" bestFit="1" customWidth="1"/>
    <col min="24" max="24" width="8.140625" style="0" bestFit="1" customWidth="1"/>
    <col min="25" max="25" width="10.140625" style="0" bestFit="1" customWidth="1"/>
    <col min="26" max="26" width="10.7109375" style="0" bestFit="1" customWidth="1"/>
    <col min="27" max="16384" width="7.7109375" style="0" customWidth="1"/>
  </cols>
  <sheetData>
    <row r="1" spans="1:24" ht="23.25" customHeight="1">
      <c r="A1" s="165"/>
      <c r="B1" s="573"/>
      <c r="C1" s="444" t="s">
        <v>580</v>
      </c>
      <c r="D1" s="445"/>
      <c r="E1" s="445"/>
      <c r="F1" s="445"/>
      <c r="G1" s="445"/>
      <c r="H1" s="148"/>
      <c r="I1" s="148"/>
      <c r="J1" s="148"/>
      <c r="K1" s="148"/>
      <c r="L1" s="148"/>
      <c r="M1" s="148"/>
      <c r="N1" s="147" t="s">
        <v>436</v>
      </c>
      <c r="O1" s="148"/>
      <c r="P1" s="148"/>
      <c r="Q1" s="148"/>
      <c r="R1" s="148"/>
      <c r="S1" s="148"/>
      <c r="T1" s="148"/>
      <c r="U1" s="573"/>
      <c r="V1" s="648"/>
      <c r="W1" s="648"/>
      <c r="X1" s="148"/>
    </row>
    <row r="2" spans="2:23" ht="21" customHeight="1">
      <c r="B2" s="573"/>
      <c r="U2" s="301"/>
      <c r="V2" s="96"/>
      <c r="W2" s="649"/>
    </row>
    <row r="3" spans="1:26" ht="12.75">
      <c r="A3" s="276"/>
      <c r="B3" s="276"/>
      <c r="C3" s="760" t="s">
        <v>323</v>
      </c>
      <c r="D3" s="761"/>
      <c r="E3" s="761"/>
      <c r="F3" s="761"/>
      <c r="G3" s="761"/>
      <c r="H3" s="761"/>
      <c r="I3" s="761"/>
      <c r="J3" s="761"/>
      <c r="K3" s="761"/>
      <c r="L3" s="761"/>
      <c r="M3" s="762"/>
      <c r="N3" s="760" t="s">
        <v>655</v>
      </c>
      <c r="O3" s="761"/>
      <c r="P3" s="761"/>
      <c r="Q3" s="761"/>
      <c r="R3" s="761"/>
      <c r="S3" s="761"/>
      <c r="T3" s="762"/>
      <c r="U3" s="446" t="s">
        <v>324</v>
      </c>
      <c r="W3" s="483" t="s">
        <v>495</v>
      </c>
      <c r="X3" s="276"/>
      <c r="Y3" s="276"/>
      <c r="Z3" s="276"/>
    </row>
    <row r="4" spans="1:26" ht="12.75">
      <c r="A4" s="277" t="s">
        <v>272</v>
      </c>
      <c r="B4" s="278" t="s">
        <v>103</v>
      </c>
      <c r="C4" s="763"/>
      <c r="D4" s="764"/>
      <c r="E4" s="764"/>
      <c r="F4" s="764"/>
      <c r="G4" s="764"/>
      <c r="H4" s="764"/>
      <c r="I4" s="764"/>
      <c r="J4" s="764"/>
      <c r="K4" s="764"/>
      <c r="L4" s="764"/>
      <c r="M4" s="765"/>
      <c r="N4" s="763"/>
      <c r="O4" s="764"/>
      <c r="P4" s="764"/>
      <c r="Q4" s="764"/>
      <c r="R4" s="764"/>
      <c r="S4" s="764"/>
      <c r="T4" s="765"/>
      <c r="U4" s="447">
        <v>2002</v>
      </c>
      <c r="W4" s="484">
        <v>2001</v>
      </c>
      <c r="X4" s="277"/>
      <c r="Y4" s="277"/>
      <c r="Z4" s="277"/>
    </row>
    <row r="5" spans="1:26" s="149" customFormat="1" ht="30" customHeight="1">
      <c r="A5" s="279"/>
      <c r="B5" s="279"/>
      <c r="C5" s="280" t="s">
        <v>325</v>
      </c>
      <c r="D5" s="475" t="s">
        <v>326</v>
      </c>
      <c r="E5" s="280" t="s">
        <v>327</v>
      </c>
      <c r="F5" s="280" t="s">
        <v>328</v>
      </c>
      <c r="G5" s="280" t="s">
        <v>329</v>
      </c>
      <c r="H5" s="280" t="s">
        <v>330</v>
      </c>
      <c r="I5" s="280" t="s">
        <v>331</v>
      </c>
      <c r="J5" s="280" t="s">
        <v>332</v>
      </c>
      <c r="K5" s="280" t="s">
        <v>333</v>
      </c>
      <c r="L5" s="280" t="s">
        <v>334</v>
      </c>
      <c r="M5" s="280" t="s">
        <v>335</v>
      </c>
      <c r="N5" s="280" t="s">
        <v>336</v>
      </c>
      <c r="O5" s="280" t="s">
        <v>337</v>
      </c>
      <c r="P5" s="280" t="s">
        <v>338</v>
      </c>
      <c r="Q5" s="280" t="s">
        <v>339</v>
      </c>
      <c r="R5" s="280" t="s">
        <v>340</v>
      </c>
      <c r="S5" s="280" t="s">
        <v>341</v>
      </c>
      <c r="T5" s="280" t="s">
        <v>342</v>
      </c>
      <c r="U5" s="619" t="s">
        <v>343</v>
      </c>
      <c r="V5" s="204"/>
      <c r="W5" s="485" t="s">
        <v>343</v>
      </c>
      <c r="X5" s="376" t="s">
        <v>253</v>
      </c>
      <c r="Y5" s="376" t="s">
        <v>519</v>
      </c>
      <c r="Z5" s="376" t="s">
        <v>583</v>
      </c>
    </row>
    <row r="6" spans="1:26" s="149" customFormat="1" ht="12.75">
      <c r="A6" s="279"/>
      <c r="B6" s="279"/>
      <c r="C6" s="279"/>
      <c r="D6" s="476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480"/>
      <c r="U6" s="447"/>
      <c r="V6" s="204"/>
      <c r="W6" s="484" t="s">
        <v>582</v>
      </c>
      <c r="X6" s="278"/>
      <c r="Y6" s="278"/>
      <c r="Z6" s="278"/>
    </row>
    <row r="7" spans="1:26" ht="12.75">
      <c r="A7" s="259"/>
      <c r="B7" s="272"/>
      <c r="C7" s="142" t="s">
        <v>122</v>
      </c>
      <c r="D7" s="331" t="s">
        <v>309</v>
      </c>
      <c r="E7" s="142" t="s">
        <v>123</v>
      </c>
      <c r="F7" s="142" t="s">
        <v>124</v>
      </c>
      <c r="G7" s="142" t="s">
        <v>125</v>
      </c>
      <c r="H7" s="142" t="s">
        <v>126</v>
      </c>
      <c r="I7" s="142" t="s">
        <v>127</v>
      </c>
      <c r="J7" s="142" t="s">
        <v>128</v>
      </c>
      <c r="K7" s="142" t="s">
        <v>129</v>
      </c>
      <c r="L7" s="142" t="s">
        <v>130</v>
      </c>
      <c r="M7" s="142" t="s">
        <v>131</v>
      </c>
      <c r="N7" s="142" t="s">
        <v>132</v>
      </c>
      <c r="O7" s="142" t="s">
        <v>205</v>
      </c>
      <c r="P7" s="142" t="s">
        <v>283</v>
      </c>
      <c r="Q7" s="142" t="s">
        <v>284</v>
      </c>
      <c r="R7" s="142" t="s">
        <v>206</v>
      </c>
      <c r="S7" s="142" t="s">
        <v>285</v>
      </c>
      <c r="T7" s="142" t="s">
        <v>286</v>
      </c>
      <c r="U7" s="142" t="s">
        <v>287</v>
      </c>
      <c r="V7" s="482"/>
      <c r="W7" s="331" t="s">
        <v>288</v>
      </c>
      <c r="X7" s="142" t="s">
        <v>289</v>
      </c>
      <c r="Y7" s="142" t="s">
        <v>290</v>
      </c>
      <c r="Z7" s="142" t="s">
        <v>290</v>
      </c>
    </row>
    <row r="8" spans="1:26" ht="12.75">
      <c r="A8" s="28">
        <v>1</v>
      </c>
      <c r="B8" s="151" t="s">
        <v>345</v>
      </c>
      <c r="C8" s="477">
        <v>48</v>
      </c>
      <c r="D8" s="335">
        <v>72</v>
      </c>
      <c r="E8" s="335">
        <v>751</v>
      </c>
      <c r="F8" s="335">
        <v>761</v>
      </c>
      <c r="G8" s="335">
        <v>790</v>
      </c>
      <c r="H8" s="335">
        <v>727</v>
      </c>
      <c r="I8" s="335">
        <v>800</v>
      </c>
      <c r="J8" s="335">
        <v>734</v>
      </c>
      <c r="K8" s="335">
        <v>815</v>
      </c>
      <c r="L8" s="335">
        <v>755</v>
      </c>
      <c r="M8" s="472">
        <v>710</v>
      </c>
      <c r="N8" s="469">
        <v>776</v>
      </c>
      <c r="O8" s="335">
        <v>581</v>
      </c>
      <c r="P8" s="335">
        <v>586</v>
      </c>
      <c r="Q8" s="335">
        <v>529</v>
      </c>
      <c r="R8" s="335">
        <v>0</v>
      </c>
      <c r="S8" s="335">
        <v>0</v>
      </c>
      <c r="T8" s="335">
        <v>61</v>
      </c>
      <c r="U8" s="152">
        <v>9496</v>
      </c>
      <c r="V8" s="481"/>
      <c r="W8" s="152">
        <f>'[4]Table 3 Levels 1&amp;2'!C9</f>
        <v>9582</v>
      </c>
      <c r="X8" s="152">
        <f>+U8-W8</f>
        <v>-86</v>
      </c>
      <c r="Y8" s="152" t="str">
        <f>IF(X8&gt;0,X8," ")</f>
        <v> </v>
      </c>
      <c r="Z8" s="152">
        <f aca="true" t="shared" si="0" ref="Z8:Z73">IF(X8&lt;0,X8," ")</f>
        <v>-86</v>
      </c>
    </row>
    <row r="9" spans="1:26" ht="12.75">
      <c r="A9" s="28">
        <v>2</v>
      </c>
      <c r="B9" s="151" t="s">
        <v>346</v>
      </c>
      <c r="C9" s="478">
        <v>1</v>
      </c>
      <c r="D9" s="335">
        <v>39</v>
      </c>
      <c r="E9" s="335">
        <v>356</v>
      </c>
      <c r="F9" s="335">
        <v>339</v>
      </c>
      <c r="G9" s="335">
        <v>353</v>
      </c>
      <c r="H9" s="335">
        <v>320</v>
      </c>
      <c r="I9" s="335">
        <v>315</v>
      </c>
      <c r="J9" s="335">
        <v>327</v>
      </c>
      <c r="K9" s="335">
        <v>314</v>
      </c>
      <c r="L9" s="335">
        <v>388</v>
      </c>
      <c r="M9" s="473">
        <v>343</v>
      </c>
      <c r="N9" s="470">
        <v>339</v>
      </c>
      <c r="O9" s="335">
        <v>277</v>
      </c>
      <c r="P9" s="335">
        <v>231</v>
      </c>
      <c r="Q9" s="335">
        <v>251</v>
      </c>
      <c r="R9" s="335">
        <v>0</v>
      </c>
      <c r="S9" s="335">
        <v>0</v>
      </c>
      <c r="T9" s="335">
        <v>0</v>
      </c>
      <c r="U9" s="152">
        <v>4193</v>
      </c>
      <c r="V9" s="486"/>
      <c r="W9" s="152">
        <f>'[4]Table 3 Levels 1&amp;2'!C10</f>
        <v>4149</v>
      </c>
      <c r="X9" s="152">
        <f aca="true" t="shared" si="1" ref="X9:X72">+U9-W9</f>
        <v>44</v>
      </c>
      <c r="Y9" s="152">
        <f aca="true" t="shared" si="2" ref="Y9:Y72">IF(X9&gt;0,X9," ")</f>
        <v>44</v>
      </c>
      <c r="Z9" s="152" t="str">
        <f>IF(X9&lt;0,X9," ")</f>
        <v> </v>
      </c>
    </row>
    <row r="10" spans="1:26" ht="12.75">
      <c r="A10" s="28">
        <v>3</v>
      </c>
      <c r="B10" s="151" t="s">
        <v>347</v>
      </c>
      <c r="C10" s="478">
        <v>49</v>
      </c>
      <c r="D10" s="335">
        <v>119</v>
      </c>
      <c r="E10" s="335">
        <v>1204</v>
      </c>
      <c r="F10" s="335">
        <v>1340</v>
      </c>
      <c r="G10" s="335">
        <v>1203</v>
      </c>
      <c r="H10" s="335">
        <v>1218</v>
      </c>
      <c r="I10" s="335">
        <v>1323</v>
      </c>
      <c r="J10" s="335">
        <v>1232</v>
      </c>
      <c r="K10" s="335">
        <v>1252</v>
      </c>
      <c r="L10" s="335">
        <v>1141</v>
      </c>
      <c r="M10" s="473">
        <v>1191</v>
      </c>
      <c r="N10" s="470">
        <v>1201</v>
      </c>
      <c r="O10" s="335">
        <v>917</v>
      </c>
      <c r="P10" s="335">
        <v>903</v>
      </c>
      <c r="Q10" s="335">
        <v>890</v>
      </c>
      <c r="R10" s="335">
        <v>0</v>
      </c>
      <c r="S10" s="335">
        <v>0</v>
      </c>
      <c r="T10" s="335">
        <v>2</v>
      </c>
      <c r="U10" s="152">
        <v>15185</v>
      </c>
      <c r="V10" s="486"/>
      <c r="W10" s="152">
        <f>'[4]Table 3 Levels 1&amp;2'!C11</f>
        <v>14943</v>
      </c>
      <c r="X10" s="152">
        <f t="shared" si="1"/>
        <v>242</v>
      </c>
      <c r="Y10" s="152">
        <f t="shared" si="2"/>
        <v>242</v>
      </c>
      <c r="Z10" s="152" t="str">
        <f t="shared" si="0"/>
        <v> </v>
      </c>
    </row>
    <row r="11" spans="1:26" ht="12.75">
      <c r="A11" s="28">
        <v>4</v>
      </c>
      <c r="B11" s="151" t="s">
        <v>348</v>
      </c>
      <c r="C11" s="478">
        <v>30</v>
      </c>
      <c r="D11" s="335">
        <v>87</v>
      </c>
      <c r="E11" s="335">
        <v>291</v>
      </c>
      <c r="F11" s="335">
        <v>334</v>
      </c>
      <c r="G11" s="335">
        <v>334</v>
      </c>
      <c r="H11" s="335">
        <v>307</v>
      </c>
      <c r="I11" s="335">
        <v>397</v>
      </c>
      <c r="J11" s="335">
        <v>342</v>
      </c>
      <c r="K11" s="335">
        <v>321</v>
      </c>
      <c r="L11" s="335">
        <v>368</v>
      </c>
      <c r="M11" s="473">
        <v>412</v>
      </c>
      <c r="N11" s="470">
        <v>474</v>
      </c>
      <c r="O11" s="335">
        <v>248</v>
      </c>
      <c r="P11" s="335">
        <v>208</v>
      </c>
      <c r="Q11" s="335">
        <v>193</v>
      </c>
      <c r="R11" s="335">
        <v>0</v>
      </c>
      <c r="S11" s="335">
        <v>0</v>
      </c>
      <c r="T11" s="335">
        <v>0</v>
      </c>
      <c r="U11" s="152">
        <v>4346</v>
      </c>
      <c r="V11" s="486"/>
      <c r="W11" s="152">
        <f>'[4]Table 3 Levels 1&amp;2'!C12</f>
        <v>4408</v>
      </c>
      <c r="X11" s="152">
        <f t="shared" si="1"/>
        <v>-62</v>
      </c>
      <c r="Y11" s="152" t="str">
        <f t="shared" si="2"/>
        <v> </v>
      </c>
      <c r="Z11" s="152">
        <f t="shared" si="0"/>
        <v>-62</v>
      </c>
    </row>
    <row r="12" spans="1:26" ht="12.75">
      <c r="A12" s="42">
        <v>5</v>
      </c>
      <c r="B12" s="150" t="s">
        <v>349</v>
      </c>
      <c r="C12" s="479">
        <v>40</v>
      </c>
      <c r="D12" s="336">
        <v>52</v>
      </c>
      <c r="E12" s="336">
        <v>529</v>
      </c>
      <c r="F12" s="336">
        <v>517</v>
      </c>
      <c r="G12" s="336">
        <v>474</v>
      </c>
      <c r="H12" s="336">
        <v>481</v>
      </c>
      <c r="I12" s="336">
        <v>487</v>
      </c>
      <c r="J12" s="336">
        <v>438</v>
      </c>
      <c r="K12" s="336">
        <v>558</v>
      </c>
      <c r="L12" s="336">
        <v>523</v>
      </c>
      <c r="M12" s="474">
        <v>524</v>
      </c>
      <c r="N12" s="471">
        <v>636</v>
      </c>
      <c r="O12" s="336">
        <v>489</v>
      </c>
      <c r="P12" s="336">
        <v>417</v>
      </c>
      <c r="Q12" s="336">
        <v>386</v>
      </c>
      <c r="R12" s="336">
        <v>0</v>
      </c>
      <c r="S12" s="336">
        <v>0</v>
      </c>
      <c r="T12" s="336">
        <v>0</v>
      </c>
      <c r="U12" s="153">
        <v>6551</v>
      </c>
      <c r="V12" s="487"/>
      <c r="W12" s="153">
        <f>'[4]Table 3 Levels 1&amp;2'!C13</f>
        <v>6619</v>
      </c>
      <c r="X12" s="153">
        <f t="shared" si="1"/>
        <v>-68</v>
      </c>
      <c r="Y12" s="153" t="str">
        <f t="shared" si="2"/>
        <v> </v>
      </c>
      <c r="Z12" s="153">
        <f t="shared" si="0"/>
        <v>-68</v>
      </c>
    </row>
    <row r="13" spans="1:26" ht="12.75">
      <c r="A13" s="28">
        <v>6</v>
      </c>
      <c r="B13" s="151" t="s">
        <v>350</v>
      </c>
      <c r="C13" s="478">
        <v>0</v>
      </c>
      <c r="D13" s="335">
        <v>94</v>
      </c>
      <c r="E13" s="335">
        <v>477</v>
      </c>
      <c r="F13" s="335">
        <v>448</v>
      </c>
      <c r="G13" s="335">
        <v>429</v>
      </c>
      <c r="H13" s="335">
        <v>468</v>
      </c>
      <c r="I13" s="335">
        <v>491</v>
      </c>
      <c r="J13" s="335">
        <v>469</v>
      </c>
      <c r="K13" s="335">
        <v>539</v>
      </c>
      <c r="L13" s="335">
        <v>502</v>
      </c>
      <c r="M13" s="473">
        <v>473</v>
      </c>
      <c r="N13" s="470">
        <v>475</v>
      </c>
      <c r="O13" s="335">
        <v>438</v>
      </c>
      <c r="P13" s="335">
        <v>399</v>
      </c>
      <c r="Q13" s="335">
        <v>358</v>
      </c>
      <c r="R13" s="335">
        <v>0</v>
      </c>
      <c r="S13" s="335">
        <v>0</v>
      </c>
      <c r="T13" s="335">
        <v>2</v>
      </c>
      <c r="U13" s="152">
        <v>6062</v>
      </c>
      <c r="V13" s="486"/>
      <c r="W13" s="152">
        <f>'[4]Table 3 Levels 1&amp;2'!C14</f>
        <v>6008</v>
      </c>
      <c r="X13" s="152">
        <f t="shared" si="1"/>
        <v>54</v>
      </c>
      <c r="Y13" s="152">
        <f t="shared" si="2"/>
        <v>54</v>
      </c>
      <c r="Z13" s="152" t="str">
        <f t="shared" si="0"/>
        <v> </v>
      </c>
    </row>
    <row r="14" spans="1:26" ht="12.75">
      <c r="A14" s="28">
        <v>7</v>
      </c>
      <c r="B14" s="151" t="s">
        <v>351</v>
      </c>
      <c r="C14" s="478">
        <v>0</v>
      </c>
      <c r="D14" s="335">
        <v>18</v>
      </c>
      <c r="E14" s="335">
        <v>184</v>
      </c>
      <c r="F14" s="335">
        <v>189</v>
      </c>
      <c r="G14" s="335">
        <v>179</v>
      </c>
      <c r="H14" s="335">
        <v>183</v>
      </c>
      <c r="I14" s="335">
        <v>204</v>
      </c>
      <c r="J14" s="335">
        <v>202</v>
      </c>
      <c r="K14" s="335">
        <v>191</v>
      </c>
      <c r="L14" s="335">
        <v>207</v>
      </c>
      <c r="M14" s="473">
        <v>198</v>
      </c>
      <c r="N14" s="470">
        <v>168</v>
      </c>
      <c r="O14" s="335">
        <v>164</v>
      </c>
      <c r="P14" s="335">
        <v>176</v>
      </c>
      <c r="Q14" s="335">
        <v>160</v>
      </c>
      <c r="R14" s="335">
        <v>0</v>
      </c>
      <c r="S14" s="335">
        <v>0</v>
      </c>
      <c r="T14" s="335">
        <v>27</v>
      </c>
      <c r="U14" s="152">
        <v>2450</v>
      </c>
      <c r="V14" s="486"/>
      <c r="W14" s="152">
        <f>'[4]Table 3 Levels 1&amp;2'!C15</f>
        <v>2491</v>
      </c>
      <c r="X14" s="152">
        <f t="shared" si="1"/>
        <v>-41</v>
      </c>
      <c r="Y14" s="152" t="str">
        <f t="shared" si="2"/>
        <v> </v>
      </c>
      <c r="Z14" s="152">
        <f t="shared" si="0"/>
        <v>-41</v>
      </c>
    </row>
    <row r="15" spans="1:26" ht="12.75">
      <c r="A15" s="28">
        <v>8</v>
      </c>
      <c r="B15" s="151" t="s">
        <v>352</v>
      </c>
      <c r="C15" s="478">
        <v>0</v>
      </c>
      <c r="D15" s="335">
        <v>188</v>
      </c>
      <c r="E15" s="335">
        <v>1568</v>
      </c>
      <c r="F15" s="335">
        <v>1485</v>
      </c>
      <c r="G15" s="335">
        <v>1393</v>
      </c>
      <c r="H15" s="335">
        <v>1376</v>
      </c>
      <c r="I15" s="335">
        <v>1466</v>
      </c>
      <c r="J15" s="335">
        <v>1492</v>
      </c>
      <c r="K15" s="335">
        <v>1519</v>
      </c>
      <c r="L15" s="335">
        <v>1433</v>
      </c>
      <c r="M15" s="473">
        <v>1587</v>
      </c>
      <c r="N15" s="470">
        <v>1456</v>
      </c>
      <c r="O15" s="335">
        <v>1324</v>
      </c>
      <c r="P15" s="335">
        <v>1174</v>
      </c>
      <c r="Q15" s="335">
        <v>1161</v>
      </c>
      <c r="R15" s="335">
        <v>0</v>
      </c>
      <c r="S15" s="335">
        <v>0</v>
      </c>
      <c r="T15" s="335">
        <v>0</v>
      </c>
      <c r="U15" s="152">
        <v>18622</v>
      </c>
      <c r="V15" s="486"/>
      <c r="W15" s="152">
        <f>'[4]Table 3 Levels 1&amp;2'!C16</f>
        <v>18494</v>
      </c>
      <c r="X15" s="152">
        <f t="shared" si="1"/>
        <v>128</v>
      </c>
      <c r="Y15" s="152">
        <f t="shared" si="2"/>
        <v>128</v>
      </c>
      <c r="Z15" s="152" t="str">
        <f t="shared" si="0"/>
        <v> </v>
      </c>
    </row>
    <row r="16" spans="1:26" ht="12.75">
      <c r="A16" s="28">
        <v>9</v>
      </c>
      <c r="B16" s="151" t="s">
        <v>353</v>
      </c>
      <c r="C16" s="478">
        <v>1</v>
      </c>
      <c r="D16" s="335">
        <v>376</v>
      </c>
      <c r="E16" s="335">
        <v>3437</v>
      </c>
      <c r="F16" s="335">
        <v>3331</v>
      </c>
      <c r="G16" s="335">
        <v>3271</v>
      </c>
      <c r="H16" s="335">
        <v>3346</v>
      </c>
      <c r="I16" s="335">
        <v>3725</v>
      </c>
      <c r="J16" s="335">
        <v>3520</v>
      </c>
      <c r="K16" s="335">
        <v>3944</v>
      </c>
      <c r="L16" s="335">
        <v>3151</v>
      </c>
      <c r="M16" s="473">
        <v>3793</v>
      </c>
      <c r="N16" s="470">
        <v>3520</v>
      </c>
      <c r="O16" s="335">
        <v>3086</v>
      </c>
      <c r="P16" s="335">
        <v>2780</v>
      </c>
      <c r="Q16" s="335">
        <v>2446</v>
      </c>
      <c r="R16" s="335">
        <v>0</v>
      </c>
      <c r="S16" s="335">
        <v>0</v>
      </c>
      <c r="T16" s="335">
        <v>0</v>
      </c>
      <c r="U16" s="152">
        <v>43727</v>
      </c>
      <c r="V16" s="486"/>
      <c r="W16" s="152">
        <f>'[4]Table 3 Levels 1&amp;2'!C17</f>
        <v>43752</v>
      </c>
      <c r="X16" s="152">
        <f t="shared" si="1"/>
        <v>-25</v>
      </c>
      <c r="Y16" s="152" t="str">
        <f t="shared" si="2"/>
        <v> </v>
      </c>
      <c r="Z16" s="152">
        <f t="shared" si="0"/>
        <v>-25</v>
      </c>
    </row>
    <row r="17" spans="1:26" ht="12.75">
      <c r="A17" s="42">
        <v>10</v>
      </c>
      <c r="B17" s="150" t="s">
        <v>354</v>
      </c>
      <c r="C17" s="479">
        <v>0</v>
      </c>
      <c r="D17" s="336">
        <v>403</v>
      </c>
      <c r="E17" s="336">
        <v>2528</v>
      </c>
      <c r="F17" s="336">
        <v>2443</v>
      </c>
      <c r="G17" s="336">
        <v>2461</v>
      </c>
      <c r="H17" s="336">
        <v>2608</v>
      </c>
      <c r="I17" s="336">
        <v>2466</v>
      </c>
      <c r="J17" s="336">
        <v>2351</v>
      </c>
      <c r="K17" s="336">
        <v>2410</v>
      </c>
      <c r="L17" s="336">
        <v>2413</v>
      </c>
      <c r="M17" s="474">
        <v>2473</v>
      </c>
      <c r="N17" s="471">
        <v>2687</v>
      </c>
      <c r="O17" s="336">
        <v>2148</v>
      </c>
      <c r="P17" s="336">
        <v>2047</v>
      </c>
      <c r="Q17" s="336">
        <v>1934</v>
      </c>
      <c r="R17" s="336">
        <v>0</v>
      </c>
      <c r="S17" s="336">
        <v>0</v>
      </c>
      <c r="T17" s="336">
        <v>151</v>
      </c>
      <c r="U17" s="153">
        <v>31523</v>
      </c>
      <c r="V17" s="487"/>
      <c r="W17" s="153">
        <f>'[4]Table 3 Levels 1&amp;2'!C18</f>
        <v>31472</v>
      </c>
      <c r="X17" s="153">
        <f t="shared" si="1"/>
        <v>51</v>
      </c>
      <c r="Y17" s="153">
        <f t="shared" si="2"/>
        <v>51</v>
      </c>
      <c r="Z17" s="153" t="str">
        <f t="shared" si="0"/>
        <v> </v>
      </c>
    </row>
    <row r="18" spans="1:26" ht="12.75">
      <c r="A18" s="28">
        <v>11</v>
      </c>
      <c r="B18" s="151" t="s">
        <v>355</v>
      </c>
      <c r="C18" s="478">
        <v>0</v>
      </c>
      <c r="D18" s="335">
        <v>29</v>
      </c>
      <c r="E18" s="335">
        <v>143</v>
      </c>
      <c r="F18" s="335">
        <v>141</v>
      </c>
      <c r="G18" s="335">
        <v>121</v>
      </c>
      <c r="H18" s="335">
        <v>131</v>
      </c>
      <c r="I18" s="335">
        <v>145</v>
      </c>
      <c r="J18" s="335">
        <v>145</v>
      </c>
      <c r="K18" s="335">
        <v>155</v>
      </c>
      <c r="L18" s="335">
        <v>149</v>
      </c>
      <c r="M18" s="473">
        <v>153</v>
      </c>
      <c r="N18" s="470">
        <v>126</v>
      </c>
      <c r="O18" s="335">
        <v>126</v>
      </c>
      <c r="P18" s="335">
        <v>121</v>
      </c>
      <c r="Q18" s="335">
        <v>116</v>
      </c>
      <c r="R18" s="335">
        <v>0</v>
      </c>
      <c r="S18" s="335">
        <v>0</v>
      </c>
      <c r="T18" s="335">
        <v>8</v>
      </c>
      <c r="U18" s="152">
        <v>1809</v>
      </c>
      <c r="V18" s="486"/>
      <c r="W18" s="152">
        <f>'[4]Table 3 Levels 1&amp;2'!C19</f>
        <v>1819</v>
      </c>
      <c r="X18" s="152">
        <f t="shared" si="1"/>
        <v>-10</v>
      </c>
      <c r="Y18" s="152" t="str">
        <f t="shared" si="2"/>
        <v> </v>
      </c>
      <c r="Z18" s="152">
        <f t="shared" si="0"/>
        <v>-10</v>
      </c>
    </row>
    <row r="19" spans="1:26" ht="12.75">
      <c r="A19" s="28">
        <v>12</v>
      </c>
      <c r="B19" s="151" t="s">
        <v>356</v>
      </c>
      <c r="C19" s="478">
        <v>0</v>
      </c>
      <c r="D19" s="335">
        <v>24</v>
      </c>
      <c r="E19" s="335">
        <v>146</v>
      </c>
      <c r="F19" s="335">
        <v>124</v>
      </c>
      <c r="G19" s="335">
        <v>148</v>
      </c>
      <c r="H19" s="335">
        <v>134</v>
      </c>
      <c r="I19" s="335">
        <v>125</v>
      </c>
      <c r="J19" s="335">
        <v>143</v>
      </c>
      <c r="K19" s="335">
        <v>144</v>
      </c>
      <c r="L19" s="335">
        <v>162</v>
      </c>
      <c r="M19" s="473">
        <v>161</v>
      </c>
      <c r="N19" s="470">
        <v>151</v>
      </c>
      <c r="O19" s="335">
        <v>130</v>
      </c>
      <c r="P19" s="335">
        <v>131</v>
      </c>
      <c r="Q19" s="335">
        <v>128</v>
      </c>
      <c r="R19" s="335">
        <v>0</v>
      </c>
      <c r="S19" s="335">
        <v>0</v>
      </c>
      <c r="T19" s="335">
        <v>0</v>
      </c>
      <c r="U19" s="152">
        <v>1851</v>
      </c>
      <c r="V19" s="486"/>
      <c r="W19" s="152">
        <f>'[4]Table 3 Levels 1&amp;2'!C20</f>
        <v>1885</v>
      </c>
      <c r="X19" s="152">
        <f t="shared" si="1"/>
        <v>-34</v>
      </c>
      <c r="Y19" s="152" t="str">
        <f t="shared" si="2"/>
        <v> </v>
      </c>
      <c r="Z19" s="152">
        <f t="shared" si="0"/>
        <v>-34</v>
      </c>
    </row>
    <row r="20" spans="1:26" ht="12.75">
      <c r="A20" s="28">
        <v>13</v>
      </c>
      <c r="B20" s="151" t="s">
        <v>357</v>
      </c>
      <c r="C20" s="478">
        <v>0</v>
      </c>
      <c r="D20" s="335">
        <v>7</v>
      </c>
      <c r="E20" s="335">
        <v>142</v>
      </c>
      <c r="F20" s="335">
        <v>144</v>
      </c>
      <c r="G20" s="335">
        <v>140</v>
      </c>
      <c r="H20" s="335">
        <v>164</v>
      </c>
      <c r="I20" s="335">
        <v>130</v>
      </c>
      <c r="J20" s="335">
        <v>169</v>
      </c>
      <c r="K20" s="335">
        <v>165</v>
      </c>
      <c r="L20" s="335">
        <v>123</v>
      </c>
      <c r="M20" s="473">
        <v>136</v>
      </c>
      <c r="N20" s="470">
        <v>130</v>
      </c>
      <c r="O20" s="335">
        <v>98</v>
      </c>
      <c r="P20" s="335">
        <v>113</v>
      </c>
      <c r="Q20" s="335">
        <v>105</v>
      </c>
      <c r="R20" s="335">
        <v>0</v>
      </c>
      <c r="S20" s="335">
        <v>0</v>
      </c>
      <c r="T20" s="335">
        <v>12</v>
      </c>
      <c r="U20" s="152">
        <v>1778</v>
      </c>
      <c r="V20" s="486"/>
      <c r="W20" s="152">
        <f>'[4]Table 3 Levels 1&amp;2'!C21</f>
        <v>1813</v>
      </c>
      <c r="X20" s="152">
        <f t="shared" si="1"/>
        <v>-35</v>
      </c>
      <c r="Y20" s="152" t="str">
        <f t="shared" si="2"/>
        <v> </v>
      </c>
      <c r="Z20" s="152">
        <f t="shared" si="0"/>
        <v>-35</v>
      </c>
    </row>
    <row r="21" spans="1:26" ht="12.75">
      <c r="A21" s="28">
        <v>14</v>
      </c>
      <c r="B21" s="151" t="s">
        <v>358</v>
      </c>
      <c r="C21" s="478">
        <v>4</v>
      </c>
      <c r="D21" s="335">
        <v>34</v>
      </c>
      <c r="E21" s="335">
        <v>196</v>
      </c>
      <c r="F21" s="335">
        <v>196</v>
      </c>
      <c r="G21" s="335">
        <v>191</v>
      </c>
      <c r="H21" s="335">
        <v>196</v>
      </c>
      <c r="I21" s="335">
        <v>248</v>
      </c>
      <c r="J21" s="335">
        <v>224</v>
      </c>
      <c r="K21" s="335">
        <v>259</v>
      </c>
      <c r="L21" s="335">
        <v>221</v>
      </c>
      <c r="M21" s="473">
        <v>219</v>
      </c>
      <c r="N21" s="470">
        <v>251</v>
      </c>
      <c r="O21" s="335">
        <v>173</v>
      </c>
      <c r="P21" s="335">
        <v>148</v>
      </c>
      <c r="Q21" s="335">
        <v>134</v>
      </c>
      <c r="R21" s="335">
        <v>0</v>
      </c>
      <c r="S21" s="335">
        <v>0</v>
      </c>
      <c r="T21" s="335">
        <v>0</v>
      </c>
      <c r="U21" s="152">
        <v>2694</v>
      </c>
      <c r="V21" s="486"/>
      <c r="W21" s="152">
        <f>'[4]Table 3 Levels 1&amp;2'!C22</f>
        <v>2706</v>
      </c>
      <c r="X21" s="152">
        <f t="shared" si="1"/>
        <v>-12</v>
      </c>
      <c r="Y21" s="152" t="str">
        <f t="shared" si="2"/>
        <v> </v>
      </c>
      <c r="Z21" s="152">
        <f t="shared" si="0"/>
        <v>-12</v>
      </c>
    </row>
    <row r="22" spans="1:26" ht="12.75">
      <c r="A22" s="42">
        <v>15</v>
      </c>
      <c r="B22" s="150" t="s">
        <v>359</v>
      </c>
      <c r="C22" s="479">
        <v>17</v>
      </c>
      <c r="D22" s="336">
        <v>22</v>
      </c>
      <c r="E22" s="336">
        <v>311</v>
      </c>
      <c r="F22" s="336">
        <v>297</v>
      </c>
      <c r="G22" s="336">
        <v>311</v>
      </c>
      <c r="H22" s="336">
        <v>328</v>
      </c>
      <c r="I22" s="336">
        <v>332</v>
      </c>
      <c r="J22" s="336">
        <v>264</v>
      </c>
      <c r="K22" s="336">
        <v>318</v>
      </c>
      <c r="L22" s="336">
        <v>335</v>
      </c>
      <c r="M22" s="474">
        <v>336</v>
      </c>
      <c r="N22" s="471">
        <v>236</v>
      </c>
      <c r="O22" s="336">
        <v>219</v>
      </c>
      <c r="P22" s="336">
        <v>191</v>
      </c>
      <c r="Q22" s="336">
        <v>203</v>
      </c>
      <c r="R22" s="336">
        <v>0</v>
      </c>
      <c r="S22" s="336">
        <v>0</v>
      </c>
      <c r="T22" s="336">
        <v>6</v>
      </c>
      <c r="U22" s="153">
        <v>3726</v>
      </c>
      <c r="V22" s="487"/>
      <c r="W22" s="153">
        <f>'[4]Table 3 Levels 1&amp;2'!C23</f>
        <v>3767</v>
      </c>
      <c r="X22" s="153">
        <f t="shared" si="1"/>
        <v>-41</v>
      </c>
      <c r="Y22" s="153" t="str">
        <f t="shared" si="2"/>
        <v> </v>
      </c>
      <c r="Z22" s="153">
        <f t="shared" si="0"/>
        <v>-41</v>
      </c>
    </row>
    <row r="23" spans="1:26" ht="12.75">
      <c r="A23" s="28">
        <v>16</v>
      </c>
      <c r="B23" s="151" t="s">
        <v>360</v>
      </c>
      <c r="C23" s="478">
        <v>0</v>
      </c>
      <c r="D23" s="335">
        <v>60</v>
      </c>
      <c r="E23" s="335">
        <v>360</v>
      </c>
      <c r="F23" s="335">
        <v>331</v>
      </c>
      <c r="G23" s="335">
        <v>377</v>
      </c>
      <c r="H23" s="335">
        <v>390</v>
      </c>
      <c r="I23" s="335">
        <v>416</v>
      </c>
      <c r="J23" s="335">
        <v>349</v>
      </c>
      <c r="K23" s="335">
        <v>424</v>
      </c>
      <c r="L23" s="335">
        <v>411</v>
      </c>
      <c r="M23" s="473">
        <v>420</v>
      </c>
      <c r="N23" s="470">
        <v>374</v>
      </c>
      <c r="O23" s="335">
        <v>320</v>
      </c>
      <c r="P23" s="335">
        <v>298</v>
      </c>
      <c r="Q23" s="335">
        <v>234</v>
      </c>
      <c r="R23" s="335">
        <v>0</v>
      </c>
      <c r="S23" s="335">
        <v>0</v>
      </c>
      <c r="T23" s="335">
        <v>76</v>
      </c>
      <c r="U23" s="152">
        <v>4840</v>
      </c>
      <c r="V23" s="486"/>
      <c r="W23" s="152">
        <f>'[4]Table 3 Levels 1&amp;2'!C24</f>
        <v>4816</v>
      </c>
      <c r="X23" s="152">
        <f t="shared" si="1"/>
        <v>24</v>
      </c>
      <c r="Y23" s="152">
        <f t="shared" si="2"/>
        <v>24</v>
      </c>
      <c r="Z23" s="152" t="str">
        <f t="shared" si="0"/>
        <v> </v>
      </c>
    </row>
    <row r="24" spans="1:26" ht="12.75">
      <c r="A24" s="28">
        <v>17</v>
      </c>
      <c r="B24" s="151" t="s">
        <v>361</v>
      </c>
      <c r="C24" s="478">
        <v>20</v>
      </c>
      <c r="D24" s="335">
        <v>76</v>
      </c>
      <c r="E24" s="335">
        <v>4045</v>
      </c>
      <c r="F24" s="335">
        <v>4085</v>
      </c>
      <c r="G24" s="335">
        <v>3881</v>
      </c>
      <c r="H24" s="335">
        <v>4178</v>
      </c>
      <c r="I24" s="335">
        <v>4384</v>
      </c>
      <c r="J24" s="335">
        <v>3998</v>
      </c>
      <c r="K24" s="335">
        <v>4100</v>
      </c>
      <c r="L24" s="335">
        <v>3816</v>
      </c>
      <c r="M24" s="473">
        <v>4766</v>
      </c>
      <c r="N24" s="470">
        <v>3631</v>
      </c>
      <c r="O24" s="335">
        <v>3495</v>
      </c>
      <c r="P24" s="335">
        <v>3046</v>
      </c>
      <c r="Q24" s="335">
        <v>3282</v>
      </c>
      <c r="R24" s="335">
        <v>0</v>
      </c>
      <c r="S24" s="335">
        <v>0</v>
      </c>
      <c r="T24" s="335">
        <v>0</v>
      </c>
      <c r="U24" s="152">
        <v>50803</v>
      </c>
      <c r="V24" s="486"/>
      <c r="W24" s="152">
        <f>'[4]Table 3 Levels 1&amp;2'!C25</f>
        <v>51095</v>
      </c>
      <c r="X24" s="152">
        <f t="shared" si="1"/>
        <v>-292</v>
      </c>
      <c r="Y24" s="152" t="str">
        <f t="shared" si="2"/>
        <v> </v>
      </c>
      <c r="Z24" s="152">
        <f t="shared" si="0"/>
        <v>-292</v>
      </c>
    </row>
    <row r="25" spans="1:26" ht="12.75">
      <c r="A25" s="28">
        <v>18</v>
      </c>
      <c r="B25" s="151" t="s">
        <v>362</v>
      </c>
      <c r="C25" s="478">
        <v>0</v>
      </c>
      <c r="D25" s="335">
        <v>16</v>
      </c>
      <c r="E25" s="335">
        <v>142</v>
      </c>
      <c r="F25" s="335">
        <v>136</v>
      </c>
      <c r="G25" s="335">
        <v>166</v>
      </c>
      <c r="H25" s="335">
        <v>134</v>
      </c>
      <c r="I25" s="335">
        <v>156</v>
      </c>
      <c r="J25" s="335">
        <v>161</v>
      </c>
      <c r="K25" s="335">
        <v>122</v>
      </c>
      <c r="L25" s="335">
        <v>140</v>
      </c>
      <c r="M25" s="473">
        <v>177</v>
      </c>
      <c r="N25" s="470">
        <v>88</v>
      </c>
      <c r="O25" s="335">
        <v>91</v>
      </c>
      <c r="P25" s="335">
        <v>77</v>
      </c>
      <c r="Q25" s="335">
        <v>100</v>
      </c>
      <c r="R25" s="335">
        <v>0</v>
      </c>
      <c r="S25" s="335">
        <v>0</v>
      </c>
      <c r="T25" s="335">
        <v>3</v>
      </c>
      <c r="U25" s="152">
        <v>1709</v>
      </c>
      <c r="V25" s="486"/>
      <c r="W25" s="152">
        <f>'[4]Table 3 Levels 1&amp;2'!C26</f>
        <v>1722</v>
      </c>
      <c r="X25" s="152">
        <f t="shared" si="1"/>
        <v>-13</v>
      </c>
      <c r="Y25" s="152" t="str">
        <f t="shared" si="2"/>
        <v> </v>
      </c>
      <c r="Z25" s="152">
        <f t="shared" si="0"/>
        <v>-13</v>
      </c>
    </row>
    <row r="26" spans="1:26" ht="12.75">
      <c r="A26" s="28">
        <v>19</v>
      </c>
      <c r="B26" s="151" t="s">
        <v>363</v>
      </c>
      <c r="C26" s="478">
        <v>0</v>
      </c>
      <c r="D26" s="335">
        <v>32</v>
      </c>
      <c r="E26" s="335">
        <v>218</v>
      </c>
      <c r="F26" s="335">
        <v>170</v>
      </c>
      <c r="G26" s="335">
        <v>180</v>
      </c>
      <c r="H26" s="335">
        <v>192</v>
      </c>
      <c r="I26" s="335">
        <v>199</v>
      </c>
      <c r="J26" s="335">
        <v>194</v>
      </c>
      <c r="K26" s="335">
        <v>163</v>
      </c>
      <c r="L26" s="335">
        <v>188</v>
      </c>
      <c r="M26" s="473">
        <v>238</v>
      </c>
      <c r="N26" s="470">
        <v>172</v>
      </c>
      <c r="O26" s="335">
        <v>179</v>
      </c>
      <c r="P26" s="335">
        <v>161</v>
      </c>
      <c r="Q26" s="335">
        <v>142</v>
      </c>
      <c r="R26" s="335">
        <v>0</v>
      </c>
      <c r="S26" s="335">
        <v>0</v>
      </c>
      <c r="T26" s="335">
        <v>0</v>
      </c>
      <c r="U26" s="152">
        <v>2428</v>
      </c>
      <c r="V26" s="486"/>
      <c r="W26" s="152">
        <f>'[4]Table 3 Levels 1&amp;2'!C27</f>
        <v>2473</v>
      </c>
      <c r="X26" s="152">
        <f t="shared" si="1"/>
        <v>-45</v>
      </c>
      <c r="Y26" s="152" t="str">
        <f t="shared" si="2"/>
        <v> </v>
      </c>
      <c r="Z26" s="152">
        <f t="shared" si="0"/>
        <v>-45</v>
      </c>
    </row>
    <row r="27" spans="1:26" ht="12.75">
      <c r="A27" s="42">
        <v>20</v>
      </c>
      <c r="B27" s="150" t="s">
        <v>364</v>
      </c>
      <c r="C27" s="479">
        <v>29</v>
      </c>
      <c r="D27" s="336">
        <v>52</v>
      </c>
      <c r="E27" s="336">
        <v>508</v>
      </c>
      <c r="F27" s="336">
        <v>537</v>
      </c>
      <c r="G27" s="336">
        <v>479</v>
      </c>
      <c r="H27" s="336">
        <v>473</v>
      </c>
      <c r="I27" s="336">
        <v>588</v>
      </c>
      <c r="J27" s="336">
        <v>500</v>
      </c>
      <c r="K27" s="336">
        <v>520</v>
      </c>
      <c r="L27" s="336">
        <v>549</v>
      </c>
      <c r="M27" s="474">
        <v>472</v>
      </c>
      <c r="N27" s="471">
        <v>492</v>
      </c>
      <c r="O27" s="336">
        <v>346</v>
      </c>
      <c r="P27" s="336">
        <v>269</v>
      </c>
      <c r="Q27" s="336">
        <v>331</v>
      </c>
      <c r="R27" s="336">
        <v>0</v>
      </c>
      <c r="S27" s="336">
        <v>0</v>
      </c>
      <c r="T27" s="336">
        <v>38</v>
      </c>
      <c r="U27" s="620">
        <v>6183</v>
      </c>
      <c r="V27" s="487"/>
      <c r="W27" s="153">
        <f>'[4]Table 3 Levels 1&amp;2'!C28</f>
        <v>6232</v>
      </c>
      <c r="X27" s="153">
        <f t="shared" si="1"/>
        <v>-49</v>
      </c>
      <c r="Y27" s="153" t="str">
        <f t="shared" si="2"/>
        <v> </v>
      </c>
      <c r="Z27" s="153">
        <f t="shared" si="0"/>
        <v>-49</v>
      </c>
    </row>
    <row r="28" spans="1:26" ht="12.75">
      <c r="A28" s="28">
        <v>21</v>
      </c>
      <c r="B28" s="151" t="s">
        <v>365</v>
      </c>
      <c r="C28" s="478">
        <v>24</v>
      </c>
      <c r="D28" s="335">
        <v>38</v>
      </c>
      <c r="E28" s="335">
        <v>313</v>
      </c>
      <c r="F28" s="335">
        <v>296</v>
      </c>
      <c r="G28" s="335">
        <v>284</v>
      </c>
      <c r="H28" s="335">
        <v>321</v>
      </c>
      <c r="I28" s="335">
        <v>310</v>
      </c>
      <c r="J28" s="335">
        <v>284</v>
      </c>
      <c r="K28" s="335">
        <v>314</v>
      </c>
      <c r="L28" s="335">
        <v>304</v>
      </c>
      <c r="M28" s="473">
        <v>277</v>
      </c>
      <c r="N28" s="470">
        <v>292</v>
      </c>
      <c r="O28" s="335">
        <v>227</v>
      </c>
      <c r="P28" s="335">
        <v>179</v>
      </c>
      <c r="Q28" s="335">
        <v>182</v>
      </c>
      <c r="R28" s="335">
        <v>0</v>
      </c>
      <c r="S28" s="335">
        <v>0</v>
      </c>
      <c r="T28" s="335">
        <v>57</v>
      </c>
      <c r="U28" s="152">
        <v>3702</v>
      </c>
      <c r="V28" s="486"/>
      <c r="W28" s="152">
        <f>'[4]Table 3 Levels 1&amp;2'!C29</f>
        <v>3716</v>
      </c>
      <c r="X28" s="152">
        <f t="shared" si="1"/>
        <v>-14</v>
      </c>
      <c r="Y28" s="152" t="str">
        <f t="shared" si="2"/>
        <v> </v>
      </c>
      <c r="Z28" s="152">
        <f t="shared" si="0"/>
        <v>-14</v>
      </c>
    </row>
    <row r="29" spans="1:26" ht="12.75">
      <c r="A29" s="28">
        <v>22</v>
      </c>
      <c r="B29" s="151" t="s">
        <v>366</v>
      </c>
      <c r="C29" s="478">
        <v>12</v>
      </c>
      <c r="D29" s="335">
        <v>38</v>
      </c>
      <c r="E29" s="335">
        <v>244</v>
      </c>
      <c r="F29" s="335">
        <v>309</v>
      </c>
      <c r="G29" s="335">
        <v>285</v>
      </c>
      <c r="H29" s="335">
        <v>273</v>
      </c>
      <c r="I29" s="335">
        <v>305</v>
      </c>
      <c r="J29" s="335">
        <v>324</v>
      </c>
      <c r="K29" s="335">
        <v>280</v>
      </c>
      <c r="L29" s="335">
        <v>290</v>
      </c>
      <c r="M29" s="473">
        <v>307</v>
      </c>
      <c r="N29" s="470">
        <v>288</v>
      </c>
      <c r="O29" s="335">
        <v>213</v>
      </c>
      <c r="P29" s="335">
        <v>220</v>
      </c>
      <c r="Q29" s="335">
        <v>184</v>
      </c>
      <c r="R29" s="335">
        <v>0</v>
      </c>
      <c r="S29" s="335">
        <v>0</v>
      </c>
      <c r="T29" s="335">
        <v>0</v>
      </c>
      <c r="U29" s="152">
        <v>3572</v>
      </c>
      <c r="V29" s="486"/>
      <c r="W29" s="152">
        <f>'[4]Table 3 Levels 1&amp;2'!C30</f>
        <v>3594</v>
      </c>
      <c r="X29" s="152">
        <f t="shared" si="1"/>
        <v>-22</v>
      </c>
      <c r="Y29" s="152" t="str">
        <f t="shared" si="2"/>
        <v> </v>
      </c>
      <c r="Z29" s="152">
        <f t="shared" si="0"/>
        <v>-22</v>
      </c>
    </row>
    <row r="30" spans="1:26" ht="12.75">
      <c r="A30" s="28">
        <v>23</v>
      </c>
      <c r="B30" s="151" t="s">
        <v>367</v>
      </c>
      <c r="C30" s="478">
        <v>50</v>
      </c>
      <c r="D30" s="335">
        <v>117</v>
      </c>
      <c r="E30" s="335">
        <v>1087</v>
      </c>
      <c r="F30" s="335">
        <v>1159</v>
      </c>
      <c r="G30" s="335">
        <v>1112</v>
      </c>
      <c r="H30" s="335">
        <v>1041</v>
      </c>
      <c r="I30" s="335">
        <v>1218</v>
      </c>
      <c r="J30" s="335">
        <v>1118</v>
      </c>
      <c r="K30" s="335">
        <v>1060</v>
      </c>
      <c r="L30" s="335">
        <v>1179</v>
      </c>
      <c r="M30" s="473">
        <v>1134</v>
      </c>
      <c r="N30" s="470">
        <v>1261</v>
      </c>
      <c r="O30" s="335">
        <v>806</v>
      </c>
      <c r="P30" s="335">
        <v>805</v>
      </c>
      <c r="Q30" s="335">
        <v>763</v>
      </c>
      <c r="R30" s="335">
        <v>0</v>
      </c>
      <c r="S30" s="335">
        <v>0</v>
      </c>
      <c r="T30" s="335">
        <v>132</v>
      </c>
      <c r="U30" s="152">
        <v>14042</v>
      </c>
      <c r="V30" s="486"/>
      <c r="W30" s="152">
        <f>'[4]Table 3 Levels 1&amp;2'!C31</f>
        <v>14342</v>
      </c>
      <c r="X30" s="152">
        <f t="shared" si="1"/>
        <v>-300</v>
      </c>
      <c r="Y30" s="152" t="str">
        <f t="shared" si="2"/>
        <v> </v>
      </c>
      <c r="Z30" s="152">
        <f t="shared" si="0"/>
        <v>-300</v>
      </c>
    </row>
    <row r="31" spans="1:26" ht="12.75">
      <c r="A31" s="28">
        <v>24</v>
      </c>
      <c r="B31" s="151" t="s">
        <v>368</v>
      </c>
      <c r="C31" s="478">
        <v>0</v>
      </c>
      <c r="D31" s="335">
        <v>23</v>
      </c>
      <c r="E31" s="335">
        <v>328</v>
      </c>
      <c r="F31" s="335">
        <v>360</v>
      </c>
      <c r="G31" s="335">
        <v>380</v>
      </c>
      <c r="H31" s="335">
        <v>378</v>
      </c>
      <c r="I31" s="335">
        <v>397</v>
      </c>
      <c r="J31" s="335">
        <v>381</v>
      </c>
      <c r="K31" s="335">
        <v>382</v>
      </c>
      <c r="L31" s="335">
        <v>354</v>
      </c>
      <c r="M31" s="473">
        <v>388</v>
      </c>
      <c r="N31" s="470">
        <v>400</v>
      </c>
      <c r="O31" s="335">
        <v>296</v>
      </c>
      <c r="P31" s="335">
        <v>249</v>
      </c>
      <c r="Q31" s="335">
        <v>251</v>
      </c>
      <c r="R31" s="335">
        <v>0</v>
      </c>
      <c r="S31" s="335">
        <v>0</v>
      </c>
      <c r="T31" s="335">
        <v>0</v>
      </c>
      <c r="U31" s="152">
        <v>4567</v>
      </c>
      <c r="V31" s="486"/>
      <c r="W31" s="152">
        <f>'[4]Table 3 Levels 1&amp;2'!C32</f>
        <v>4769</v>
      </c>
      <c r="X31" s="152">
        <f t="shared" si="1"/>
        <v>-202</v>
      </c>
      <c r="Y31" s="152" t="str">
        <f t="shared" si="2"/>
        <v> </v>
      </c>
      <c r="Z31" s="152">
        <f t="shared" si="0"/>
        <v>-202</v>
      </c>
    </row>
    <row r="32" spans="1:26" ht="12.75">
      <c r="A32" s="42">
        <v>25</v>
      </c>
      <c r="B32" s="150" t="s">
        <v>369</v>
      </c>
      <c r="C32" s="479">
        <v>5</v>
      </c>
      <c r="D32" s="336">
        <v>25</v>
      </c>
      <c r="E32" s="336">
        <v>209</v>
      </c>
      <c r="F32" s="336">
        <v>182</v>
      </c>
      <c r="G32" s="336">
        <v>175</v>
      </c>
      <c r="H32" s="336">
        <v>178</v>
      </c>
      <c r="I32" s="336">
        <v>176</v>
      </c>
      <c r="J32" s="336">
        <v>186</v>
      </c>
      <c r="K32" s="336">
        <v>210</v>
      </c>
      <c r="L32" s="336">
        <v>196</v>
      </c>
      <c r="M32" s="474">
        <v>203</v>
      </c>
      <c r="N32" s="471">
        <v>213</v>
      </c>
      <c r="O32" s="336">
        <v>171</v>
      </c>
      <c r="P32" s="336">
        <v>145</v>
      </c>
      <c r="Q32" s="336">
        <v>145</v>
      </c>
      <c r="R32" s="336">
        <v>0</v>
      </c>
      <c r="S32" s="336">
        <v>0</v>
      </c>
      <c r="T32" s="336">
        <v>14</v>
      </c>
      <c r="U32" s="153">
        <v>2433</v>
      </c>
      <c r="V32" s="487"/>
      <c r="W32" s="153">
        <f>'[4]Table 3 Levels 1&amp;2'!C33</f>
        <v>2522</v>
      </c>
      <c r="X32" s="153">
        <f t="shared" si="1"/>
        <v>-89</v>
      </c>
      <c r="Y32" s="153" t="str">
        <f t="shared" si="2"/>
        <v> </v>
      </c>
      <c r="Z32" s="153">
        <f t="shared" si="0"/>
        <v>-89</v>
      </c>
    </row>
    <row r="33" spans="1:26" ht="12.75">
      <c r="A33" s="28">
        <v>26</v>
      </c>
      <c r="B33" s="151" t="s">
        <v>370</v>
      </c>
      <c r="C33" s="478" t="s">
        <v>581</v>
      </c>
      <c r="D33" s="335">
        <v>168</v>
      </c>
      <c r="E33" s="335">
        <v>3666</v>
      </c>
      <c r="F33" s="335">
        <v>4072</v>
      </c>
      <c r="G33" s="335">
        <v>3947</v>
      </c>
      <c r="H33" s="335">
        <v>4262</v>
      </c>
      <c r="I33" s="335">
        <v>4214</v>
      </c>
      <c r="J33" s="335">
        <v>4034</v>
      </c>
      <c r="K33" s="335">
        <v>4318</v>
      </c>
      <c r="L33" s="335">
        <v>4292</v>
      </c>
      <c r="M33" s="473">
        <v>4073</v>
      </c>
      <c r="N33" s="470">
        <v>3951</v>
      </c>
      <c r="O33" s="335">
        <v>3587</v>
      </c>
      <c r="P33" s="335">
        <v>2823</v>
      </c>
      <c r="Q33" s="335">
        <v>2524</v>
      </c>
      <c r="R33" s="335">
        <v>0</v>
      </c>
      <c r="S33" s="335">
        <v>0</v>
      </c>
      <c r="T33" s="335">
        <v>0</v>
      </c>
      <c r="U33" s="152">
        <v>49931</v>
      </c>
      <c r="V33" s="486"/>
      <c r="W33" s="152">
        <f>'[4]Table 3 Levels 1&amp;2'!C34</f>
        <v>50077</v>
      </c>
      <c r="X33" s="152">
        <f t="shared" si="1"/>
        <v>-146</v>
      </c>
      <c r="Y33" s="152" t="str">
        <f t="shared" si="2"/>
        <v> </v>
      </c>
      <c r="Z33" s="152">
        <f t="shared" si="0"/>
        <v>-146</v>
      </c>
    </row>
    <row r="34" spans="1:26" ht="12.75">
      <c r="A34" s="28">
        <v>27</v>
      </c>
      <c r="B34" s="151" t="s">
        <v>371</v>
      </c>
      <c r="C34" s="478">
        <v>24</v>
      </c>
      <c r="D34" s="335">
        <v>47</v>
      </c>
      <c r="E34" s="335">
        <v>451</v>
      </c>
      <c r="F34" s="335">
        <v>480</v>
      </c>
      <c r="G34" s="335">
        <v>429</v>
      </c>
      <c r="H34" s="335">
        <v>444</v>
      </c>
      <c r="I34" s="335">
        <v>427</v>
      </c>
      <c r="J34" s="335">
        <v>469</v>
      </c>
      <c r="K34" s="335">
        <v>447</v>
      </c>
      <c r="L34" s="335">
        <v>428</v>
      </c>
      <c r="M34" s="473">
        <v>447</v>
      </c>
      <c r="N34" s="470">
        <v>481</v>
      </c>
      <c r="O34" s="335">
        <v>389</v>
      </c>
      <c r="P34" s="335">
        <v>349</v>
      </c>
      <c r="Q34" s="335">
        <v>381</v>
      </c>
      <c r="R34" s="335">
        <v>0</v>
      </c>
      <c r="S34" s="335">
        <v>0</v>
      </c>
      <c r="T34" s="335">
        <v>0</v>
      </c>
      <c r="U34" s="152">
        <v>5693</v>
      </c>
      <c r="V34" s="486"/>
      <c r="W34" s="152">
        <f>'[4]Table 3 Levels 1&amp;2'!C35</f>
        <v>5737</v>
      </c>
      <c r="X34" s="152">
        <f t="shared" si="1"/>
        <v>-44</v>
      </c>
      <c r="Y34" s="152" t="str">
        <f t="shared" si="2"/>
        <v> </v>
      </c>
      <c r="Z34" s="152">
        <f t="shared" si="0"/>
        <v>-44</v>
      </c>
    </row>
    <row r="35" spans="1:26" ht="12.75">
      <c r="A35" s="28">
        <v>28</v>
      </c>
      <c r="B35" s="151" t="s">
        <v>372</v>
      </c>
      <c r="C35" s="478">
        <v>75</v>
      </c>
      <c r="D35" s="335">
        <v>173</v>
      </c>
      <c r="E35" s="335">
        <v>2171</v>
      </c>
      <c r="F35" s="335">
        <v>2259</v>
      </c>
      <c r="G35" s="335">
        <v>2219</v>
      </c>
      <c r="H35" s="335">
        <v>2262</v>
      </c>
      <c r="I35" s="335">
        <v>2199</v>
      </c>
      <c r="J35" s="335">
        <v>2300</v>
      </c>
      <c r="K35" s="335">
        <v>2471</v>
      </c>
      <c r="L35" s="335">
        <v>2438</v>
      </c>
      <c r="M35" s="473">
        <v>2417</v>
      </c>
      <c r="N35" s="470">
        <v>2429</v>
      </c>
      <c r="O35" s="335">
        <v>2132</v>
      </c>
      <c r="P35" s="335">
        <v>1852</v>
      </c>
      <c r="Q35" s="335">
        <v>1536</v>
      </c>
      <c r="R35" s="335">
        <v>0</v>
      </c>
      <c r="S35" s="335">
        <v>0</v>
      </c>
      <c r="T35" s="335">
        <v>0</v>
      </c>
      <c r="U35" s="152">
        <v>28933</v>
      </c>
      <c r="V35" s="486"/>
      <c r="W35" s="152">
        <f>'[4]Table 3 Levels 1&amp;2'!C36</f>
        <v>29094</v>
      </c>
      <c r="X35" s="152">
        <f t="shared" si="1"/>
        <v>-161</v>
      </c>
      <c r="Y35" s="152" t="str">
        <f t="shared" si="2"/>
        <v> </v>
      </c>
      <c r="Z35" s="152">
        <f t="shared" si="0"/>
        <v>-161</v>
      </c>
    </row>
    <row r="36" spans="1:26" ht="12.75">
      <c r="A36" s="28">
        <v>29</v>
      </c>
      <c r="B36" s="151" t="s">
        <v>373</v>
      </c>
      <c r="C36" s="478">
        <v>119</v>
      </c>
      <c r="D36" s="335">
        <v>132</v>
      </c>
      <c r="E36" s="335">
        <v>1028</v>
      </c>
      <c r="F36" s="335">
        <v>1071</v>
      </c>
      <c r="G36" s="335">
        <v>1047</v>
      </c>
      <c r="H36" s="335">
        <v>1128</v>
      </c>
      <c r="I36" s="335">
        <v>1294</v>
      </c>
      <c r="J36" s="335">
        <v>1216</v>
      </c>
      <c r="K36" s="335">
        <v>1261</v>
      </c>
      <c r="L36" s="335">
        <v>1129</v>
      </c>
      <c r="M36" s="473">
        <v>1362</v>
      </c>
      <c r="N36" s="470">
        <v>1418</v>
      </c>
      <c r="O36" s="335">
        <v>936</v>
      </c>
      <c r="P36" s="335">
        <v>1036</v>
      </c>
      <c r="Q36" s="335">
        <v>859</v>
      </c>
      <c r="R36" s="335">
        <v>0</v>
      </c>
      <c r="S36" s="335">
        <v>0</v>
      </c>
      <c r="T36" s="335">
        <v>0</v>
      </c>
      <c r="U36" s="152">
        <v>15036</v>
      </c>
      <c r="V36" s="486"/>
      <c r="W36" s="152">
        <f>'[4]Table 3 Levels 1&amp;2'!C37</f>
        <v>15067</v>
      </c>
      <c r="X36" s="152">
        <f t="shared" si="1"/>
        <v>-31</v>
      </c>
      <c r="Y36" s="152" t="str">
        <f t="shared" si="2"/>
        <v> </v>
      </c>
      <c r="Z36" s="152">
        <f t="shared" si="0"/>
        <v>-31</v>
      </c>
    </row>
    <row r="37" spans="1:26" ht="12.75">
      <c r="A37" s="42">
        <v>30</v>
      </c>
      <c r="B37" s="150" t="s">
        <v>374</v>
      </c>
      <c r="C37" s="479">
        <v>0</v>
      </c>
      <c r="D37" s="336">
        <v>15</v>
      </c>
      <c r="E37" s="336">
        <v>185</v>
      </c>
      <c r="F37" s="336">
        <v>185</v>
      </c>
      <c r="G37" s="336">
        <v>169</v>
      </c>
      <c r="H37" s="336">
        <v>177</v>
      </c>
      <c r="I37" s="336">
        <v>211</v>
      </c>
      <c r="J37" s="336">
        <v>209</v>
      </c>
      <c r="K37" s="336">
        <v>204</v>
      </c>
      <c r="L37" s="336">
        <v>199</v>
      </c>
      <c r="M37" s="474">
        <v>212</v>
      </c>
      <c r="N37" s="471">
        <v>229</v>
      </c>
      <c r="O37" s="336">
        <v>183</v>
      </c>
      <c r="P37" s="336">
        <v>186</v>
      </c>
      <c r="Q37" s="336">
        <v>163</v>
      </c>
      <c r="R37" s="336">
        <v>0</v>
      </c>
      <c r="S37" s="336">
        <v>0</v>
      </c>
      <c r="T37" s="336">
        <v>22</v>
      </c>
      <c r="U37" s="153">
        <v>2549</v>
      </c>
      <c r="V37" s="487"/>
      <c r="W37" s="153">
        <f>'[4]Table 3 Levels 1&amp;2'!C38</f>
        <v>2537</v>
      </c>
      <c r="X37" s="153">
        <f t="shared" si="1"/>
        <v>12</v>
      </c>
      <c r="Y37" s="153">
        <f t="shared" si="2"/>
        <v>12</v>
      </c>
      <c r="Z37" s="153" t="str">
        <f t="shared" si="0"/>
        <v> </v>
      </c>
    </row>
    <row r="38" spans="1:26" ht="12.75">
      <c r="A38" s="28">
        <v>31</v>
      </c>
      <c r="B38" s="151" t="s">
        <v>375</v>
      </c>
      <c r="C38" s="478">
        <v>0</v>
      </c>
      <c r="D38" s="335">
        <v>41</v>
      </c>
      <c r="E38" s="335">
        <v>516</v>
      </c>
      <c r="F38" s="335">
        <v>531</v>
      </c>
      <c r="G38" s="335">
        <v>503</v>
      </c>
      <c r="H38" s="335">
        <v>534</v>
      </c>
      <c r="I38" s="335">
        <v>498</v>
      </c>
      <c r="J38" s="335">
        <v>486</v>
      </c>
      <c r="K38" s="335">
        <v>500</v>
      </c>
      <c r="L38" s="335">
        <v>488</v>
      </c>
      <c r="M38" s="473">
        <v>539</v>
      </c>
      <c r="N38" s="470">
        <v>577</v>
      </c>
      <c r="O38" s="335">
        <v>478</v>
      </c>
      <c r="P38" s="335">
        <v>397</v>
      </c>
      <c r="Q38" s="335">
        <v>421</v>
      </c>
      <c r="R38" s="335">
        <v>0</v>
      </c>
      <c r="S38" s="335">
        <v>0</v>
      </c>
      <c r="T38" s="335">
        <v>41</v>
      </c>
      <c r="U38" s="152">
        <v>6550</v>
      </c>
      <c r="V38" s="486"/>
      <c r="W38" s="152">
        <f>'[4]Table 3 Levels 1&amp;2'!C39</f>
        <v>6596</v>
      </c>
      <c r="X38" s="152">
        <f t="shared" si="1"/>
        <v>-46</v>
      </c>
      <c r="Y38" s="152" t="str">
        <f t="shared" si="2"/>
        <v> </v>
      </c>
      <c r="Z38" s="152">
        <f t="shared" si="0"/>
        <v>-46</v>
      </c>
    </row>
    <row r="39" spans="1:26" ht="12.75">
      <c r="A39" s="28">
        <v>32</v>
      </c>
      <c r="B39" s="151" t="s">
        <v>376</v>
      </c>
      <c r="C39" s="478">
        <v>0</v>
      </c>
      <c r="D39" s="335">
        <v>162</v>
      </c>
      <c r="E39" s="335">
        <v>1563</v>
      </c>
      <c r="F39" s="335">
        <v>1709</v>
      </c>
      <c r="G39" s="335">
        <v>1609</v>
      </c>
      <c r="H39" s="335">
        <v>1663</v>
      </c>
      <c r="I39" s="335">
        <v>1717</v>
      </c>
      <c r="J39" s="335">
        <v>1708</v>
      </c>
      <c r="K39" s="335">
        <v>1679</v>
      </c>
      <c r="L39" s="335">
        <v>1628</v>
      </c>
      <c r="M39" s="473">
        <v>1581</v>
      </c>
      <c r="N39" s="470">
        <v>1574</v>
      </c>
      <c r="O39" s="335">
        <v>1441</v>
      </c>
      <c r="P39" s="335">
        <v>1234</v>
      </c>
      <c r="Q39" s="335">
        <v>1147</v>
      </c>
      <c r="R39" s="335">
        <v>0</v>
      </c>
      <c r="S39" s="335">
        <v>0</v>
      </c>
      <c r="T39" s="335">
        <v>0</v>
      </c>
      <c r="U39" s="152">
        <v>20415</v>
      </c>
      <c r="V39" s="486"/>
      <c r="W39" s="152">
        <f>'[4]Table 3 Levels 1&amp;2'!C40</f>
        <v>19916</v>
      </c>
      <c r="X39" s="152">
        <f t="shared" si="1"/>
        <v>499</v>
      </c>
      <c r="Y39" s="152">
        <f t="shared" si="2"/>
        <v>499</v>
      </c>
      <c r="Z39" s="152" t="str">
        <f t="shared" si="0"/>
        <v> </v>
      </c>
    </row>
    <row r="40" spans="1:26" ht="12.75">
      <c r="A40" s="28">
        <v>33</v>
      </c>
      <c r="B40" s="151" t="s">
        <v>377</v>
      </c>
      <c r="C40" s="478">
        <v>10</v>
      </c>
      <c r="D40" s="335">
        <v>7</v>
      </c>
      <c r="E40" s="335">
        <v>184</v>
      </c>
      <c r="F40" s="335">
        <v>224</v>
      </c>
      <c r="G40" s="335">
        <v>199</v>
      </c>
      <c r="H40" s="335">
        <v>240</v>
      </c>
      <c r="I40" s="335">
        <v>187</v>
      </c>
      <c r="J40" s="335">
        <v>181</v>
      </c>
      <c r="K40" s="335">
        <v>167</v>
      </c>
      <c r="L40" s="335">
        <v>201</v>
      </c>
      <c r="M40" s="473">
        <v>216</v>
      </c>
      <c r="N40" s="470">
        <v>125</v>
      </c>
      <c r="O40" s="335">
        <v>145</v>
      </c>
      <c r="P40" s="335">
        <v>94</v>
      </c>
      <c r="Q40" s="335">
        <v>112</v>
      </c>
      <c r="R40" s="335">
        <v>0</v>
      </c>
      <c r="S40" s="335">
        <v>0</v>
      </c>
      <c r="T40" s="335">
        <v>10</v>
      </c>
      <c r="U40" s="152">
        <v>2302</v>
      </c>
      <c r="V40" s="486"/>
      <c r="W40" s="152">
        <f>'[4]Table 3 Levels 1&amp;2'!C41</f>
        <v>2360</v>
      </c>
      <c r="X40" s="152">
        <f t="shared" si="1"/>
        <v>-58</v>
      </c>
      <c r="Y40" s="152" t="str">
        <f t="shared" si="2"/>
        <v> </v>
      </c>
      <c r="Z40" s="152">
        <f t="shared" si="0"/>
        <v>-58</v>
      </c>
    </row>
    <row r="41" spans="1:26" ht="12.75">
      <c r="A41" s="28">
        <v>34</v>
      </c>
      <c r="B41" s="151" t="s">
        <v>378</v>
      </c>
      <c r="C41" s="478">
        <v>16</v>
      </c>
      <c r="D41" s="335">
        <v>76</v>
      </c>
      <c r="E41" s="335">
        <v>443</v>
      </c>
      <c r="F41" s="335">
        <v>458</v>
      </c>
      <c r="G41" s="335">
        <v>419</v>
      </c>
      <c r="H41" s="335">
        <v>477</v>
      </c>
      <c r="I41" s="335">
        <v>434</v>
      </c>
      <c r="J41" s="335">
        <v>402</v>
      </c>
      <c r="K41" s="335">
        <v>370</v>
      </c>
      <c r="L41" s="335">
        <v>438</v>
      </c>
      <c r="M41" s="473">
        <v>350</v>
      </c>
      <c r="N41" s="470">
        <v>429</v>
      </c>
      <c r="O41" s="335">
        <v>287</v>
      </c>
      <c r="P41" s="335">
        <v>228</v>
      </c>
      <c r="Q41" s="335">
        <v>251</v>
      </c>
      <c r="R41" s="335">
        <v>0</v>
      </c>
      <c r="S41" s="335">
        <v>0</v>
      </c>
      <c r="T41" s="335">
        <v>43</v>
      </c>
      <c r="U41" s="152">
        <v>5121</v>
      </c>
      <c r="V41" s="486"/>
      <c r="W41" s="152">
        <f>'[4]Table 3 Levels 1&amp;2'!C42</f>
        <v>5134</v>
      </c>
      <c r="X41" s="152">
        <f t="shared" si="1"/>
        <v>-13</v>
      </c>
      <c r="Y41" s="152" t="str">
        <f t="shared" si="2"/>
        <v> </v>
      </c>
      <c r="Z41" s="152">
        <f t="shared" si="0"/>
        <v>-13</v>
      </c>
    </row>
    <row r="42" spans="1:26" ht="12.75">
      <c r="A42" s="42">
        <v>35</v>
      </c>
      <c r="B42" s="150" t="s">
        <v>379</v>
      </c>
      <c r="C42" s="479">
        <v>26</v>
      </c>
      <c r="D42" s="336">
        <v>55</v>
      </c>
      <c r="E42" s="336">
        <v>610</v>
      </c>
      <c r="F42" s="336">
        <v>527</v>
      </c>
      <c r="G42" s="336">
        <v>501</v>
      </c>
      <c r="H42" s="336">
        <v>533</v>
      </c>
      <c r="I42" s="336">
        <v>546</v>
      </c>
      <c r="J42" s="336">
        <v>481</v>
      </c>
      <c r="K42" s="336">
        <v>559</v>
      </c>
      <c r="L42" s="336">
        <v>523</v>
      </c>
      <c r="M42" s="474">
        <v>541</v>
      </c>
      <c r="N42" s="471">
        <v>599</v>
      </c>
      <c r="O42" s="336">
        <v>403</v>
      </c>
      <c r="P42" s="336">
        <v>321</v>
      </c>
      <c r="Q42" s="336">
        <v>339</v>
      </c>
      <c r="R42" s="336">
        <v>0</v>
      </c>
      <c r="S42" s="336">
        <v>0</v>
      </c>
      <c r="T42" s="336">
        <v>52</v>
      </c>
      <c r="U42" s="153">
        <v>6616</v>
      </c>
      <c r="V42" s="487"/>
      <c r="W42" s="153">
        <f>'[4]Table 3 Levels 1&amp;2'!C43</f>
        <v>6657</v>
      </c>
      <c r="X42" s="153">
        <f t="shared" si="1"/>
        <v>-41</v>
      </c>
      <c r="Y42" s="153" t="str">
        <f t="shared" si="2"/>
        <v> </v>
      </c>
      <c r="Z42" s="153">
        <f t="shared" si="0"/>
        <v>-41</v>
      </c>
    </row>
    <row r="43" spans="1:26" ht="12.75">
      <c r="A43" s="28">
        <v>36</v>
      </c>
      <c r="B43" s="151" t="s">
        <v>380</v>
      </c>
      <c r="C43" s="478">
        <v>0</v>
      </c>
      <c r="D43" s="335">
        <v>412</v>
      </c>
      <c r="E43" s="335">
        <v>4732</v>
      </c>
      <c r="F43" s="335">
        <v>4717</v>
      </c>
      <c r="G43" s="335">
        <v>5301</v>
      </c>
      <c r="H43" s="335">
        <v>5793</v>
      </c>
      <c r="I43" s="335">
        <v>7304</v>
      </c>
      <c r="J43" s="335">
        <v>4412</v>
      </c>
      <c r="K43" s="335">
        <v>5485</v>
      </c>
      <c r="L43" s="335">
        <v>4793</v>
      </c>
      <c r="M43" s="473">
        <v>7002</v>
      </c>
      <c r="N43" s="470">
        <v>5001</v>
      </c>
      <c r="O43" s="335">
        <v>4565</v>
      </c>
      <c r="P43" s="335">
        <v>4199</v>
      </c>
      <c r="Q43" s="335">
        <v>4372</v>
      </c>
      <c r="R43" s="335">
        <v>0</v>
      </c>
      <c r="S43" s="335">
        <v>0</v>
      </c>
      <c r="T43" s="335">
        <v>0</v>
      </c>
      <c r="U43" s="152">
        <v>68088</v>
      </c>
      <c r="V43" s="486"/>
      <c r="W43" s="152">
        <f>'[4]Table 3 Levels 1&amp;2'!C44</f>
        <v>70912</v>
      </c>
      <c r="X43" s="152">
        <f t="shared" si="1"/>
        <v>-2824</v>
      </c>
      <c r="Y43" s="152" t="str">
        <f t="shared" si="2"/>
        <v> </v>
      </c>
      <c r="Z43" s="152">
        <f t="shared" si="0"/>
        <v>-2824</v>
      </c>
    </row>
    <row r="44" spans="1:26" ht="12.75">
      <c r="A44" s="28">
        <v>37</v>
      </c>
      <c r="B44" s="151" t="s">
        <v>381</v>
      </c>
      <c r="C44" s="478">
        <v>94</v>
      </c>
      <c r="D44" s="335">
        <v>125</v>
      </c>
      <c r="E44" s="335">
        <v>1436</v>
      </c>
      <c r="F44" s="335">
        <v>1313</v>
      </c>
      <c r="G44" s="335">
        <v>1310</v>
      </c>
      <c r="H44" s="335">
        <v>1343</v>
      </c>
      <c r="I44" s="335">
        <v>1330</v>
      </c>
      <c r="J44" s="335">
        <v>1377</v>
      </c>
      <c r="K44" s="335">
        <v>1417</v>
      </c>
      <c r="L44" s="335">
        <v>1502</v>
      </c>
      <c r="M44" s="473">
        <v>1541</v>
      </c>
      <c r="N44" s="470">
        <v>1447</v>
      </c>
      <c r="O44" s="335">
        <v>1267</v>
      </c>
      <c r="P44" s="335">
        <v>1088</v>
      </c>
      <c r="Q44" s="335">
        <v>1012</v>
      </c>
      <c r="R44" s="335">
        <v>0</v>
      </c>
      <c r="S44" s="335">
        <v>0</v>
      </c>
      <c r="T44" s="335">
        <v>0</v>
      </c>
      <c r="U44" s="152">
        <v>17602</v>
      </c>
      <c r="V44" s="486"/>
      <c r="W44" s="152">
        <f>'[4]Table 3 Levels 1&amp;2'!C45</f>
        <v>17620</v>
      </c>
      <c r="X44" s="152">
        <f t="shared" si="1"/>
        <v>-18</v>
      </c>
      <c r="Y44" s="152" t="str">
        <f t="shared" si="2"/>
        <v> </v>
      </c>
      <c r="Z44" s="152">
        <f t="shared" si="0"/>
        <v>-18</v>
      </c>
    </row>
    <row r="45" spans="1:26" ht="12.75">
      <c r="A45" s="28">
        <v>38</v>
      </c>
      <c r="B45" s="151" t="s">
        <v>382</v>
      </c>
      <c r="C45" s="478">
        <v>0</v>
      </c>
      <c r="D45" s="335">
        <v>17</v>
      </c>
      <c r="E45" s="335">
        <v>371</v>
      </c>
      <c r="F45" s="335">
        <v>338</v>
      </c>
      <c r="G45" s="335">
        <v>365</v>
      </c>
      <c r="H45" s="335">
        <v>330</v>
      </c>
      <c r="I45" s="335">
        <v>376</v>
      </c>
      <c r="J45" s="335">
        <v>327</v>
      </c>
      <c r="K45" s="335">
        <v>385</v>
      </c>
      <c r="L45" s="335">
        <v>345</v>
      </c>
      <c r="M45" s="473">
        <v>358</v>
      </c>
      <c r="N45" s="470">
        <v>391</v>
      </c>
      <c r="O45" s="335">
        <v>355</v>
      </c>
      <c r="P45" s="335">
        <v>316</v>
      </c>
      <c r="Q45" s="335">
        <v>306</v>
      </c>
      <c r="R45" s="335">
        <v>0</v>
      </c>
      <c r="S45" s="335">
        <v>0</v>
      </c>
      <c r="T45" s="335">
        <v>30</v>
      </c>
      <c r="U45" s="152">
        <v>4610</v>
      </c>
      <c r="V45" s="486"/>
      <c r="W45" s="152">
        <f>'[4]Table 3 Levels 1&amp;2'!C46</f>
        <v>4727</v>
      </c>
      <c r="X45" s="152">
        <f t="shared" si="1"/>
        <v>-117</v>
      </c>
      <c r="Y45" s="152" t="str">
        <f t="shared" si="2"/>
        <v> </v>
      </c>
      <c r="Z45" s="152">
        <f t="shared" si="0"/>
        <v>-117</v>
      </c>
    </row>
    <row r="46" spans="1:26" ht="12.75">
      <c r="A46" s="28">
        <v>39</v>
      </c>
      <c r="B46" s="151" t="s">
        <v>383</v>
      </c>
      <c r="C46" s="478">
        <v>0</v>
      </c>
      <c r="D46" s="335">
        <v>36</v>
      </c>
      <c r="E46" s="335">
        <v>263</v>
      </c>
      <c r="F46" s="335">
        <v>274</v>
      </c>
      <c r="G46" s="335">
        <v>262</v>
      </c>
      <c r="H46" s="335">
        <v>273</v>
      </c>
      <c r="I46" s="335">
        <v>272</v>
      </c>
      <c r="J46" s="335">
        <v>252</v>
      </c>
      <c r="K46" s="335">
        <v>231</v>
      </c>
      <c r="L46" s="335">
        <v>217</v>
      </c>
      <c r="M46" s="473">
        <v>287</v>
      </c>
      <c r="N46" s="470">
        <v>228</v>
      </c>
      <c r="O46" s="335">
        <v>198</v>
      </c>
      <c r="P46" s="335">
        <v>184</v>
      </c>
      <c r="Q46" s="335">
        <v>191</v>
      </c>
      <c r="R46" s="335">
        <v>0</v>
      </c>
      <c r="S46" s="335">
        <v>0</v>
      </c>
      <c r="T46" s="335">
        <v>0</v>
      </c>
      <c r="U46" s="152">
        <v>3168</v>
      </c>
      <c r="V46" s="486"/>
      <c r="W46" s="152">
        <f>'[4]Table 3 Levels 1&amp;2'!C47</f>
        <v>3158</v>
      </c>
      <c r="X46" s="152">
        <f t="shared" si="1"/>
        <v>10</v>
      </c>
      <c r="Y46" s="152">
        <f t="shared" si="2"/>
        <v>10</v>
      </c>
      <c r="Z46" s="152" t="str">
        <f t="shared" si="0"/>
        <v> </v>
      </c>
    </row>
    <row r="47" spans="1:26" ht="12.75">
      <c r="A47" s="42">
        <v>40</v>
      </c>
      <c r="B47" s="150" t="s">
        <v>384</v>
      </c>
      <c r="C47" s="479">
        <v>79</v>
      </c>
      <c r="D47" s="336">
        <v>244</v>
      </c>
      <c r="E47" s="336">
        <v>1744</v>
      </c>
      <c r="F47" s="336">
        <v>1805</v>
      </c>
      <c r="G47" s="336">
        <v>1824</v>
      </c>
      <c r="H47" s="336">
        <v>1745</v>
      </c>
      <c r="I47" s="336">
        <v>1795</v>
      </c>
      <c r="J47" s="336">
        <v>1571</v>
      </c>
      <c r="K47" s="336">
        <v>1675</v>
      </c>
      <c r="L47" s="336">
        <v>1751</v>
      </c>
      <c r="M47" s="474">
        <v>1806</v>
      </c>
      <c r="N47" s="471">
        <v>1735</v>
      </c>
      <c r="O47" s="336">
        <v>1611</v>
      </c>
      <c r="P47" s="336">
        <v>1530</v>
      </c>
      <c r="Q47" s="336">
        <v>1487</v>
      </c>
      <c r="R47" s="336">
        <v>0</v>
      </c>
      <c r="S47" s="336">
        <v>0</v>
      </c>
      <c r="T47" s="336">
        <v>0</v>
      </c>
      <c r="U47" s="153">
        <v>22402</v>
      </c>
      <c r="V47" s="487"/>
      <c r="W47" s="153">
        <f>'[4]Table 3 Levels 1&amp;2'!C48</f>
        <v>22520</v>
      </c>
      <c r="X47" s="153">
        <f t="shared" si="1"/>
        <v>-118</v>
      </c>
      <c r="Y47" s="153" t="str">
        <f t="shared" si="2"/>
        <v> </v>
      </c>
      <c r="Z47" s="153">
        <f t="shared" si="0"/>
        <v>-118</v>
      </c>
    </row>
    <row r="48" spans="1:26" ht="12.75">
      <c r="A48" s="28">
        <v>41</v>
      </c>
      <c r="B48" s="151" t="s">
        <v>385</v>
      </c>
      <c r="C48" s="478">
        <v>0</v>
      </c>
      <c r="D48" s="335">
        <v>6</v>
      </c>
      <c r="E48" s="335">
        <v>116</v>
      </c>
      <c r="F48" s="335">
        <v>109</v>
      </c>
      <c r="G48" s="335">
        <v>103</v>
      </c>
      <c r="H48" s="335">
        <v>147</v>
      </c>
      <c r="I48" s="335">
        <v>166</v>
      </c>
      <c r="J48" s="335">
        <v>109</v>
      </c>
      <c r="K48" s="335">
        <v>94</v>
      </c>
      <c r="L48" s="335">
        <v>130</v>
      </c>
      <c r="M48" s="473">
        <v>136</v>
      </c>
      <c r="N48" s="470">
        <v>106</v>
      </c>
      <c r="O48" s="335">
        <v>102</v>
      </c>
      <c r="P48" s="335">
        <v>108</v>
      </c>
      <c r="Q48" s="335">
        <v>87</v>
      </c>
      <c r="R48" s="335">
        <v>0</v>
      </c>
      <c r="S48" s="335">
        <v>0</v>
      </c>
      <c r="T48" s="335">
        <v>13</v>
      </c>
      <c r="U48" s="152">
        <v>1532</v>
      </c>
      <c r="V48" s="486"/>
      <c r="W48" s="152">
        <f>'[4]Table 3 Levels 1&amp;2'!C49</f>
        <v>1647</v>
      </c>
      <c r="X48" s="152">
        <f t="shared" si="1"/>
        <v>-115</v>
      </c>
      <c r="Y48" s="152" t="str">
        <f t="shared" si="2"/>
        <v> </v>
      </c>
      <c r="Z48" s="152">
        <f t="shared" si="0"/>
        <v>-115</v>
      </c>
    </row>
    <row r="49" spans="1:26" ht="12.75">
      <c r="A49" s="28">
        <v>42</v>
      </c>
      <c r="B49" s="151" t="s">
        <v>386</v>
      </c>
      <c r="C49" s="478">
        <v>10</v>
      </c>
      <c r="D49" s="335">
        <v>46</v>
      </c>
      <c r="E49" s="335">
        <v>285</v>
      </c>
      <c r="F49" s="335">
        <v>264</v>
      </c>
      <c r="G49" s="335">
        <v>265</v>
      </c>
      <c r="H49" s="335">
        <v>281</v>
      </c>
      <c r="I49" s="335">
        <v>280</v>
      </c>
      <c r="J49" s="335">
        <v>307</v>
      </c>
      <c r="K49" s="335">
        <v>309</v>
      </c>
      <c r="L49" s="335">
        <v>295</v>
      </c>
      <c r="M49" s="473">
        <v>289</v>
      </c>
      <c r="N49" s="470">
        <v>278</v>
      </c>
      <c r="O49" s="335">
        <v>234</v>
      </c>
      <c r="P49" s="335">
        <v>196</v>
      </c>
      <c r="Q49" s="335">
        <v>176</v>
      </c>
      <c r="R49" s="335">
        <v>0</v>
      </c>
      <c r="S49" s="335">
        <v>0</v>
      </c>
      <c r="T49" s="335">
        <v>4</v>
      </c>
      <c r="U49" s="152">
        <v>3519</v>
      </c>
      <c r="V49" s="486"/>
      <c r="W49" s="152">
        <f>'[4]Table 3 Levels 1&amp;2'!C50</f>
        <v>3566</v>
      </c>
      <c r="X49" s="152">
        <f t="shared" si="1"/>
        <v>-47</v>
      </c>
      <c r="Y49" s="152" t="str">
        <f t="shared" si="2"/>
        <v> </v>
      </c>
      <c r="Z49" s="152">
        <f t="shared" si="0"/>
        <v>-47</v>
      </c>
    </row>
    <row r="50" spans="1:26" ht="12.75">
      <c r="A50" s="28">
        <v>43</v>
      </c>
      <c r="B50" s="151" t="s">
        <v>387</v>
      </c>
      <c r="C50" s="478">
        <v>17</v>
      </c>
      <c r="D50" s="335">
        <v>39</v>
      </c>
      <c r="E50" s="335">
        <v>314</v>
      </c>
      <c r="F50" s="335">
        <v>284</v>
      </c>
      <c r="G50" s="335">
        <v>277</v>
      </c>
      <c r="H50" s="335">
        <v>277</v>
      </c>
      <c r="I50" s="335">
        <v>299</v>
      </c>
      <c r="J50" s="335">
        <v>344</v>
      </c>
      <c r="K50" s="335">
        <v>341</v>
      </c>
      <c r="L50" s="335">
        <v>330</v>
      </c>
      <c r="M50" s="473">
        <v>352</v>
      </c>
      <c r="N50" s="470">
        <v>340</v>
      </c>
      <c r="O50" s="335">
        <v>304</v>
      </c>
      <c r="P50" s="335">
        <v>295</v>
      </c>
      <c r="Q50" s="335">
        <v>266</v>
      </c>
      <c r="R50" s="335">
        <v>0</v>
      </c>
      <c r="S50" s="335">
        <v>0</v>
      </c>
      <c r="T50" s="335">
        <v>50</v>
      </c>
      <c r="U50" s="152">
        <v>4129</v>
      </c>
      <c r="V50" s="486"/>
      <c r="W50" s="152">
        <f>'[4]Table 3 Levels 1&amp;2'!C51</f>
        <v>4158</v>
      </c>
      <c r="X50" s="152">
        <f t="shared" si="1"/>
        <v>-29</v>
      </c>
      <c r="Y50" s="152" t="str">
        <f t="shared" si="2"/>
        <v> </v>
      </c>
      <c r="Z50" s="152">
        <f t="shared" si="0"/>
        <v>-29</v>
      </c>
    </row>
    <row r="51" spans="1:26" ht="12.75">
      <c r="A51" s="28">
        <v>44</v>
      </c>
      <c r="B51" s="151" t="s">
        <v>388</v>
      </c>
      <c r="C51" s="478">
        <v>7</v>
      </c>
      <c r="D51" s="335">
        <v>34</v>
      </c>
      <c r="E51" s="335">
        <v>627</v>
      </c>
      <c r="F51" s="335">
        <v>613</v>
      </c>
      <c r="G51" s="335">
        <v>653</v>
      </c>
      <c r="H51" s="335">
        <v>650</v>
      </c>
      <c r="I51" s="335">
        <v>693</v>
      </c>
      <c r="J51" s="335">
        <v>614</v>
      </c>
      <c r="K51" s="335">
        <v>718</v>
      </c>
      <c r="L51" s="335">
        <v>722</v>
      </c>
      <c r="M51" s="473">
        <v>717</v>
      </c>
      <c r="N51" s="470">
        <v>762</v>
      </c>
      <c r="O51" s="335">
        <v>626</v>
      </c>
      <c r="P51" s="335">
        <v>516</v>
      </c>
      <c r="Q51" s="335">
        <v>431</v>
      </c>
      <c r="R51" s="335">
        <v>0</v>
      </c>
      <c r="S51" s="335">
        <v>0</v>
      </c>
      <c r="T51" s="335">
        <v>0</v>
      </c>
      <c r="U51" s="152">
        <v>8383</v>
      </c>
      <c r="V51" s="486"/>
      <c r="W51" s="152">
        <f>'[4]Table 3 Levels 1&amp;2'!C52</f>
        <v>8406</v>
      </c>
      <c r="X51" s="152">
        <f t="shared" si="1"/>
        <v>-23</v>
      </c>
      <c r="Y51" s="152" t="str">
        <f t="shared" si="2"/>
        <v> </v>
      </c>
      <c r="Z51" s="152">
        <f t="shared" si="0"/>
        <v>-23</v>
      </c>
    </row>
    <row r="52" spans="1:26" ht="12.75">
      <c r="A52" s="42">
        <v>45</v>
      </c>
      <c r="B52" s="150" t="s">
        <v>389</v>
      </c>
      <c r="C52" s="479">
        <v>44</v>
      </c>
      <c r="D52" s="336">
        <v>46</v>
      </c>
      <c r="E52" s="336">
        <v>766</v>
      </c>
      <c r="F52" s="336">
        <v>720</v>
      </c>
      <c r="G52" s="336">
        <v>702</v>
      </c>
      <c r="H52" s="336">
        <v>712</v>
      </c>
      <c r="I52" s="336">
        <v>722</v>
      </c>
      <c r="J52" s="336">
        <v>700</v>
      </c>
      <c r="K52" s="336">
        <v>741</v>
      </c>
      <c r="L52" s="336">
        <v>785</v>
      </c>
      <c r="M52" s="474">
        <v>708</v>
      </c>
      <c r="N52" s="471">
        <v>828</v>
      </c>
      <c r="O52" s="336">
        <v>721</v>
      </c>
      <c r="P52" s="336">
        <v>635</v>
      </c>
      <c r="Q52" s="336">
        <v>633</v>
      </c>
      <c r="R52" s="336">
        <v>0</v>
      </c>
      <c r="S52" s="336">
        <v>0</v>
      </c>
      <c r="T52" s="336">
        <v>0</v>
      </c>
      <c r="U52" s="153">
        <v>9463</v>
      </c>
      <c r="V52" s="487"/>
      <c r="W52" s="153">
        <f>'[4]Table 3 Levels 1&amp;2'!C53</f>
        <v>9641</v>
      </c>
      <c r="X52" s="153">
        <f t="shared" si="1"/>
        <v>-178</v>
      </c>
      <c r="Y52" s="153" t="str">
        <f t="shared" si="2"/>
        <v> </v>
      </c>
      <c r="Z52" s="153">
        <f t="shared" si="0"/>
        <v>-178</v>
      </c>
    </row>
    <row r="53" spans="1:26" ht="12.75">
      <c r="A53" s="28">
        <v>46</v>
      </c>
      <c r="B53" s="151" t="s">
        <v>390</v>
      </c>
      <c r="C53" s="478">
        <v>0</v>
      </c>
      <c r="D53" s="335">
        <v>8</v>
      </c>
      <c r="E53" s="335">
        <v>96</v>
      </c>
      <c r="F53" s="335">
        <v>117</v>
      </c>
      <c r="G53" s="335">
        <v>100</v>
      </c>
      <c r="H53" s="335">
        <v>121</v>
      </c>
      <c r="I53" s="335">
        <v>99</v>
      </c>
      <c r="J53" s="335">
        <v>92</v>
      </c>
      <c r="K53" s="335">
        <v>112</v>
      </c>
      <c r="L53" s="335">
        <v>100</v>
      </c>
      <c r="M53" s="473">
        <v>94</v>
      </c>
      <c r="N53" s="470">
        <v>112</v>
      </c>
      <c r="O53" s="335">
        <v>112</v>
      </c>
      <c r="P53" s="335">
        <v>69</v>
      </c>
      <c r="Q53" s="335">
        <v>84</v>
      </c>
      <c r="R53" s="335">
        <v>0</v>
      </c>
      <c r="S53" s="335">
        <v>0</v>
      </c>
      <c r="T53" s="335">
        <v>0</v>
      </c>
      <c r="U53" s="152">
        <v>1316</v>
      </c>
      <c r="V53" s="486"/>
      <c r="W53" s="152">
        <f>'[4]Table 3 Levels 1&amp;2'!C54</f>
        <v>1333</v>
      </c>
      <c r="X53" s="152">
        <f t="shared" si="1"/>
        <v>-17</v>
      </c>
      <c r="Y53" s="152" t="str">
        <f t="shared" si="2"/>
        <v> </v>
      </c>
      <c r="Z53" s="152">
        <f t="shared" si="0"/>
        <v>-17</v>
      </c>
    </row>
    <row r="54" spans="1:26" ht="12.75">
      <c r="A54" s="28">
        <v>47</v>
      </c>
      <c r="B54" s="151" t="s">
        <v>391</v>
      </c>
      <c r="C54" s="478">
        <v>26</v>
      </c>
      <c r="D54" s="335">
        <v>53</v>
      </c>
      <c r="E54" s="335">
        <v>265</v>
      </c>
      <c r="F54" s="335">
        <v>309</v>
      </c>
      <c r="G54" s="335">
        <v>278</v>
      </c>
      <c r="H54" s="335">
        <v>282</v>
      </c>
      <c r="I54" s="335">
        <v>318</v>
      </c>
      <c r="J54" s="335">
        <v>310</v>
      </c>
      <c r="K54" s="335">
        <v>285</v>
      </c>
      <c r="L54" s="335">
        <v>291</v>
      </c>
      <c r="M54" s="473">
        <v>335</v>
      </c>
      <c r="N54" s="470">
        <v>282</v>
      </c>
      <c r="O54" s="335">
        <v>248</v>
      </c>
      <c r="P54" s="335">
        <v>240</v>
      </c>
      <c r="Q54" s="335">
        <v>261</v>
      </c>
      <c r="R54" s="335">
        <v>0</v>
      </c>
      <c r="S54" s="335">
        <v>0</v>
      </c>
      <c r="T54" s="335">
        <v>20</v>
      </c>
      <c r="U54" s="152">
        <v>3803</v>
      </c>
      <c r="V54" s="486"/>
      <c r="W54" s="152">
        <f>'[4]Table 3 Levels 1&amp;2'!C55</f>
        <v>3777</v>
      </c>
      <c r="X54" s="152">
        <f t="shared" si="1"/>
        <v>26</v>
      </c>
      <c r="Y54" s="152">
        <f t="shared" si="2"/>
        <v>26</v>
      </c>
      <c r="Z54" s="152" t="str">
        <f t="shared" si="0"/>
        <v> </v>
      </c>
    </row>
    <row r="55" spans="1:26" ht="12.75">
      <c r="A55" s="28">
        <v>48</v>
      </c>
      <c r="B55" s="151" t="s">
        <v>453</v>
      </c>
      <c r="C55" s="478">
        <v>25</v>
      </c>
      <c r="D55" s="335">
        <v>77</v>
      </c>
      <c r="E55" s="335">
        <v>462</v>
      </c>
      <c r="F55" s="335">
        <v>503</v>
      </c>
      <c r="G55" s="335">
        <v>501</v>
      </c>
      <c r="H55" s="335">
        <v>515</v>
      </c>
      <c r="I55" s="335">
        <v>543</v>
      </c>
      <c r="J55" s="335">
        <v>486</v>
      </c>
      <c r="K55" s="335">
        <v>474</v>
      </c>
      <c r="L55" s="335">
        <v>566</v>
      </c>
      <c r="M55" s="473">
        <v>511</v>
      </c>
      <c r="N55" s="470">
        <v>452</v>
      </c>
      <c r="O55" s="335">
        <v>433</v>
      </c>
      <c r="P55" s="335">
        <v>274</v>
      </c>
      <c r="Q55" s="335">
        <v>351</v>
      </c>
      <c r="R55" s="335">
        <v>0</v>
      </c>
      <c r="S55" s="335">
        <v>0</v>
      </c>
      <c r="T55" s="335">
        <v>0</v>
      </c>
      <c r="U55" s="152">
        <v>6173</v>
      </c>
      <c r="V55" s="486"/>
      <c r="W55" s="152">
        <f>'[4]Table 3 Levels 1&amp;2'!C56</f>
        <v>6104</v>
      </c>
      <c r="X55" s="152">
        <f t="shared" si="1"/>
        <v>69</v>
      </c>
      <c r="Y55" s="152">
        <f t="shared" si="2"/>
        <v>69</v>
      </c>
      <c r="Z55" s="152" t="str">
        <f t="shared" si="0"/>
        <v> </v>
      </c>
    </row>
    <row r="56" spans="1:26" ht="12.75">
      <c r="A56" s="28">
        <v>49</v>
      </c>
      <c r="B56" s="151" t="s">
        <v>392</v>
      </c>
      <c r="C56" s="478">
        <v>86</v>
      </c>
      <c r="D56" s="335">
        <v>157</v>
      </c>
      <c r="E56" s="335">
        <v>1228</v>
      </c>
      <c r="F56" s="335">
        <v>1317</v>
      </c>
      <c r="G56" s="335">
        <v>1120</v>
      </c>
      <c r="H56" s="335">
        <v>1258</v>
      </c>
      <c r="I56" s="335">
        <v>1266</v>
      </c>
      <c r="J56" s="335">
        <v>1261</v>
      </c>
      <c r="K56" s="335">
        <v>1213</v>
      </c>
      <c r="L56" s="335">
        <v>1232</v>
      </c>
      <c r="M56" s="473">
        <v>1195</v>
      </c>
      <c r="N56" s="470">
        <v>1255</v>
      </c>
      <c r="O56" s="335">
        <v>997</v>
      </c>
      <c r="P56" s="335">
        <v>802</v>
      </c>
      <c r="Q56" s="335">
        <v>849</v>
      </c>
      <c r="R56" s="335">
        <v>0</v>
      </c>
      <c r="S56" s="335">
        <v>0</v>
      </c>
      <c r="T56" s="335">
        <v>95</v>
      </c>
      <c r="U56" s="152">
        <v>15331</v>
      </c>
      <c r="V56" s="486"/>
      <c r="W56" s="152">
        <f>'[4]Table 3 Levels 1&amp;2'!C57</f>
        <v>15331</v>
      </c>
      <c r="X56" s="152">
        <f t="shared" si="1"/>
        <v>0</v>
      </c>
      <c r="Y56" s="152" t="str">
        <f t="shared" si="2"/>
        <v> </v>
      </c>
      <c r="Z56" s="152" t="str">
        <f t="shared" si="0"/>
        <v> </v>
      </c>
    </row>
    <row r="57" spans="1:26" ht="12.75">
      <c r="A57" s="42">
        <v>50</v>
      </c>
      <c r="B57" s="150" t="s">
        <v>393</v>
      </c>
      <c r="C57" s="479">
        <v>41</v>
      </c>
      <c r="D57" s="336">
        <v>60</v>
      </c>
      <c r="E57" s="336">
        <v>621</v>
      </c>
      <c r="F57" s="336">
        <v>625</v>
      </c>
      <c r="G57" s="336">
        <v>644</v>
      </c>
      <c r="H57" s="336">
        <v>633</v>
      </c>
      <c r="I57" s="336">
        <v>689</v>
      </c>
      <c r="J57" s="336">
        <v>614</v>
      </c>
      <c r="K57" s="336">
        <v>645</v>
      </c>
      <c r="L57" s="336">
        <v>622</v>
      </c>
      <c r="M57" s="474">
        <v>759</v>
      </c>
      <c r="N57" s="471">
        <v>723</v>
      </c>
      <c r="O57" s="336">
        <v>638</v>
      </c>
      <c r="P57" s="336">
        <v>515</v>
      </c>
      <c r="Q57" s="336">
        <v>519</v>
      </c>
      <c r="R57" s="336">
        <v>0</v>
      </c>
      <c r="S57" s="336">
        <v>0</v>
      </c>
      <c r="T57" s="336">
        <v>26</v>
      </c>
      <c r="U57" s="153">
        <v>8374</v>
      </c>
      <c r="V57" s="487"/>
      <c r="W57" s="153">
        <f>'[4]Table 3 Levels 1&amp;2'!C58</f>
        <v>8418</v>
      </c>
      <c r="X57" s="153">
        <f t="shared" si="1"/>
        <v>-44</v>
      </c>
      <c r="Y57" s="153" t="str">
        <f t="shared" si="2"/>
        <v> </v>
      </c>
      <c r="Z57" s="153">
        <f t="shared" si="0"/>
        <v>-44</v>
      </c>
    </row>
    <row r="58" spans="1:26" ht="12.75">
      <c r="A58" s="28">
        <v>51</v>
      </c>
      <c r="B58" s="151" t="s">
        <v>394</v>
      </c>
      <c r="C58" s="478">
        <v>36</v>
      </c>
      <c r="D58" s="335">
        <v>84</v>
      </c>
      <c r="E58" s="335">
        <v>706</v>
      </c>
      <c r="F58" s="335">
        <v>735</v>
      </c>
      <c r="G58" s="335">
        <v>775</v>
      </c>
      <c r="H58" s="335">
        <v>769</v>
      </c>
      <c r="I58" s="335">
        <v>885</v>
      </c>
      <c r="J58" s="335">
        <v>828</v>
      </c>
      <c r="K58" s="335">
        <v>814</v>
      </c>
      <c r="L58" s="335">
        <v>896</v>
      </c>
      <c r="M58" s="473">
        <v>821</v>
      </c>
      <c r="N58" s="470">
        <v>835</v>
      </c>
      <c r="O58" s="335">
        <v>711</v>
      </c>
      <c r="P58" s="335">
        <v>637</v>
      </c>
      <c r="Q58" s="335">
        <v>649</v>
      </c>
      <c r="R58" s="335">
        <v>0</v>
      </c>
      <c r="S58" s="335">
        <v>0</v>
      </c>
      <c r="T58" s="335">
        <v>0</v>
      </c>
      <c r="U58" s="152">
        <v>10181</v>
      </c>
      <c r="V58" s="486"/>
      <c r="W58" s="152">
        <f>'[4]Table 3 Levels 1&amp;2'!C59</f>
        <v>10321</v>
      </c>
      <c r="X58" s="152">
        <f t="shared" si="1"/>
        <v>-140</v>
      </c>
      <c r="Y58" s="152" t="str">
        <f t="shared" si="2"/>
        <v> </v>
      </c>
      <c r="Z58" s="152">
        <f t="shared" si="0"/>
        <v>-140</v>
      </c>
    </row>
    <row r="59" spans="1:26" ht="12.75">
      <c r="A59" s="28">
        <v>52</v>
      </c>
      <c r="B59" s="151" t="s">
        <v>395</v>
      </c>
      <c r="C59" s="478">
        <v>0</v>
      </c>
      <c r="D59" s="335">
        <v>385</v>
      </c>
      <c r="E59" s="335">
        <v>2385</v>
      </c>
      <c r="F59" s="335">
        <v>2912</v>
      </c>
      <c r="G59" s="335">
        <v>2460</v>
      </c>
      <c r="H59" s="335">
        <v>2420</v>
      </c>
      <c r="I59" s="335">
        <v>2556</v>
      </c>
      <c r="J59" s="335">
        <v>2608</v>
      </c>
      <c r="K59" s="335">
        <v>2646</v>
      </c>
      <c r="L59" s="335">
        <v>2760</v>
      </c>
      <c r="M59" s="473">
        <v>2717</v>
      </c>
      <c r="N59" s="470">
        <v>3072</v>
      </c>
      <c r="O59" s="335">
        <v>2518</v>
      </c>
      <c r="P59" s="335">
        <v>2325</v>
      </c>
      <c r="Q59" s="335">
        <v>2187</v>
      </c>
      <c r="R59" s="335">
        <v>0</v>
      </c>
      <c r="S59" s="335">
        <v>0</v>
      </c>
      <c r="T59" s="335">
        <v>0</v>
      </c>
      <c r="U59" s="152">
        <v>33951</v>
      </c>
      <c r="V59" s="486"/>
      <c r="W59" s="152">
        <f>'[4]Table 3 Levels 1&amp;2'!C60</f>
        <v>32844</v>
      </c>
      <c r="X59" s="152">
        <f t="shared" si="1"/>
        <v>1107</v>
      </c>
      <c r="Y59" s="152">
        <f t="shared" si="2"/>
        <v>1107</v>
      </c>
      <c r="Z59" s="152" t="str">
        <f t="shared" si="0"/>
        <v> </v>
      </c>
    </row>
    <row r="60" spans="1:26" ht="12.75">
      <c r="A60" s="28">
        <v>53</v>
      </c>
      <c r="B60" s="151" t="s">
        <v>396</v>
      </c>
      <c r="C60" s="478">
        <v>0</v>
      </c>
      <c r="D60" s="335">
        <v>96</v>
      </c>
      <c r="E60" s="335">
        <v>1366</v>
      </c>
      <c r="F60" s="335">
        <v>1449</v>
      </c>
      <c r="G60" s="335">
        <v>1367</v>
      </c>
      <c r="H60" s="335">
        <v>1410</v>
      </c>
      <c r="I60" s="335">
        <v>1531</v>
      </c>
      <c r="J60" s="335">
        <v>1367</v>
      </c>
      <c r="K60" s="335">
        <v>1406</v>
      </c>
      <c r="L60" s="335">
        <v>1382</v>
      </c>
      <c r="M60" s="473">
        <v>1432</v>
      </c>
      <c r="N60" s="470">
        <v>1391</v>
      </c>
      <c r="O60" s="335">
        <v>1330</v>
      </c>
      <c r="P60" s="335">
        <v>1127</v>
      </c>
      <c r="Q60" s="335">
        <v>1002</v>
      </c>
      <c r="R60" s="335">
        <v>0</v>
      </c>
      <c r="S60" s="335">
        <v>0</v>
      </c>
      <c r="T60" s="335">
        <v>0</v>
      </c>
      <c r="U60" s="152">
        <v>17656</v>
      </c>
      <c r="V60" s="486"/>
      <c r="W60" s="152">
        <f>'[4]Table 3 Levels 1&amp;2'!C61</f>
        <v>17839</v>
      </c>
      <c r="X60" s="152">
        <f t="shared" si="1"/>
        <v>-183</v>
      </c>
      <c r="Y60" s="152" t="str">
        <f t="shared" si="2"/>
        <v> </v>
      </c>
      <c r="Z60" s="152">
        <f t="shared" si="0"/>
        <v>-183</v>
      </c>
    </row>
    <row r="61" spans="1:26" ht="12.75">
      <c r="A61" s="28">
        <v>54</v>
      </c>
      <c r="B61" s="151" t="s">
        <v>397</v>
      </c>
      <c r="C61" s="478">
        <v>0</v>
      </c>
      <c r="D61" s="335">
        <v>31</v>
      </c>
      <c r="E61" s="335">
        <v>67</v>
      </c>
      <c r="F61" s="335">
        <v>57</v>
      </c>
      <c r="G61" s="335">
        <v>70</v>
      </c>
      <c r="H61" s="335">
        <v>59</v>
      </c>
      <c r="I61" s="335">
        <v>73</v>
      </c>
      <c r="J61" s="335">
        <v>69</v>
      </c>
      <c r="K61" s="335">
        <v>64</v>
      </c>
      <c r="L61" s="335">
        <v>95</v>
      </c>
      <c r="M61" s="473">
        <v>88</v>
      </c>
      <c r="N61" s="470">
        <v>63</v>
      </c>
      <c r="O61" s="335">
        <v>61</v>
      </c>
      <c r="P61" s="335">
        <v>58</v>
      </c>
      <c r="Q61" s="335">
        <v>62</v>
      </c>
      <c r="R61" s="335">
        <v>0</v>
      </c>
      <c r="S61" s="335">
        <v>0</v>
      </c>
      <c r="T61" s="335">
        <v>5</v>
      </c>
      <c r="U61" s="152">
        <v>922</v>
      </c>
      <c r="V61" s="486"/>
      <c r="W61" s="152">
        <f>'[4]Table 3 Levels 1&amp;2'!C62</f>
        <v>953</v>
      </c>
      <c r="X61" s="152">
        <f t="shared" si="1"/>
        <v>-31</v>
      </c>
      <c r="Y61" s="152" t="str">
        <f t="shared" si="2"/>
        <v> </v>
      </c>
      <c r="Z61" s="152">
        <f t="shared" si="0"/>
        <v>-31</v>
      </c>
    </row>
    <row r="62" spans="1:26" ht="12.75">
      <c r="A62" s="42">
        <v>55</v>
      </c>
      <c r="B62" s="150" t="s">
        <v>398</v>
      </c>
      <c r="C62" s="479">
        <v>76</v>
      </c>
      <c r="D62" s="336">
        <v>214</v>
      </c>
      <c r="E62" s="336">
        <v>1473</v>
      </c>
      <c r="F62" s="336">
        <v>1541</v>
      </c>
      <c r="G62" s="336">
        <v>1485</v>
      </c>
      <c r="H62" s="336">
        <v>1510</v>
      </c>
      <c r="I62" s="336">
        <v>1514</v>
      </c>
      <c r="J62" s="336">
        <v>1429</v>
      </c>
      <c r="K62" s="336">
        <v>1596</v>
      </c>
      <c r="L62" s="336">
        <v>1498</v>
      </c>
      <c r="M62" s="474">
        <v>1713</v>
      </c>
      <c r="N62" s="471">
        <v>1598</v>
      </c>
      <c r="O62" s="336">
        <v>1300</v>
      </c>
      <c r="P62" s="336">
        <v>1174</v>
      </c>
      <c r="Q62" s="336">
        <v>1069</v>
      </c>
      <c r="R62" s="336">
        <v>0</v>
      </c>
      <c r="S62" s="336">
        <v>0</v>
      </c>
      <c r="T62" s="336">
        <v>84</v>
      </c>
      <c r="U62" s="153">
        <v>19274</v>
      </c>
      <c r="V62" s="487"/>
      <c r="W62" s="153">
        <f>'[4]Table 3 Levels 1&amp;2'!C63</f>
        <v>19262</v>
      </c>
      <c r="X62" s="153">
        <f t="shared" si="1"/>
        <v>12</v>
      </c>
      <c r="Y62" s="153">
        <f t="shared" si="2"/>
        <v>12</v>
      </c>
      <c r="Z62" s="153" t="str">
        <f t="shared" si="0"/>
        <v> </v>
      </c>
    </row>
    <row r="63" spans="1:26" ht="12.75">
      <c r="A63" s="28">
        <v>56</v>
      </c>
      <c r="B63" s="151" t="s">
        <v>399</v>
      </c>
      <c r="C63" s="478">
        <v>0</v>
      </c>
      <c r="D63" s="335">
        <v>29</v>
      </c>
      <c r="E63" s="335">
        <v>283</v>
      </c>
      <c r="F63" s="335">
        <v>249</v>
      </c>
      <c r="G63" s="335">
        <v>278</v>
      </c>
      <c r="H63" s="335">
        <v>248</v>
      </c>
      <c r="I63" s="335">
        <v>301</v>
      </c>
      <c r="J63" s="335">
        <v>298</v>
      </c>
      <c r="K63" s="335">
        <v>285</v>
      </c>
      <c r="L63" s="335">
        <v>269</v>
      </c>
      <c r="M63" s="473">
        <v>292</v>
      </c>
      <c r="N63" s="470">
        <v>313</v>
      </c>
      <c r="O63" s="335">
        <v>221</v>
      </c>
      <c r="P63" s="335">
        <v>167</v>
      </c>
      <c r="Q63" s="335">
        <v>191</v>
      </c>
      <c r="R63" s="335">
        <v>0</v>
      </c>
      <c r="S63" s="335">
        <v>0</v>
      </c>
      <c r="T63" s="335">
        <v>5</v>
      </c>
      <c r="U63" s="152">
        <v>3429</v>
      </c>
      <c r="V63" s="486"/>
      <c r="W63" s="152">
        <f>'[4]Table 3 Levels 1&amp;2'!C64</f>
        <v>3487</v>
      </c>
      <c r="X63" s="152">
        <f t="shared" si="1"/>
        <v>-58</v>
      </c>
      <c r="Y63" s="152" t="str">
        <f t="shared" si="2"/>
        <v> </v>
      </c>
      <c r="Z63" s="152">
        <f t="shared" si="0"/>
        <v>-58</v>
      </c>
    </row>
    <row r="64" spans="1:26" ht="12.75">
      <c r="A64" s="28">
        <v>57</v>
      </c>
      <c r="B64" s="151" t="s">
        <v>400</v>
      </c>
      <c r="C64" s="478">
        <v>43</v>
      </c>
      <c r="D64" s="335">
        <v>119</v>
      </c>
      <c r="E64" s="335">
        <v>660</v>
      </c>
      <c r="F64" s="335">
        <v>593</v>
      </c>
      <c r="G64" s="335">
        <v>625</v>
      </c>
      <c r="H64" s="335">
        <v>624</v>
      </c>
      <c r="I64" s="335">
        <v>698</v>
      </c>
      <c r="J64" s="335">
        <v>713</v>
      </c>
      <c r="K64" s="335">
        <v>703</v>
      </c>
      <c r="L64" s="335">
        <v>756</v>
      </c>
      <c r="M64" s="473">
        <v>714</v>
      </c>
      <c r="N64" s="470">
        <v>616</v>
      </c>
      <c r="O64" s="335">
        <v>587</v>
      </c>
      <c r="P64" s="335">
        <v>595</v>
      </c>
      <c r="Q64" s="335">
        <v>616</v>
      </c>
      <c r="R64" s="335">
        <v>0</v>
      </c>
      <c r="S64" s="335">
        <v>0</v>
      </c>
      <c r="T64" s="335">
        <v>48</v>
      </c>
      <c r="U64" s="152">
        <v>8710</v>
      </c>
      <c r="V64" s="486"/>
      <c r="W64" s="152">
        <f>'[4]Table 3 Levels 1&amp;2'!C65</f>
        <v>8687</v>
      </c>
      <c r="X64" s="152">
        <f t="shared" si="1"/>
        <v>23</v>
      </c>
      <c r="Y64" s="152">
        <f t="shared" si="2"/>
        <v>23</v>
      </c>
      <c r="Z64" s="152" t="str">
        <f t="shared" si="0"/>
        <v> </v>
      </c>
    </row>
    <row r="65" spans="1:26" ht="12.75">
      <c r="A65" s="28">
        <v>58</v>
      </c>
      <c r="B65" s="151" t="s">
        <v>401</v>
      </c>
      <c r="C65" s="478">
        <v>31</v>
      </c>
      <c r="D65" s="335">
        <v>108</v>
      </c>
      <c r="E65" s="335">
        <v>967</v>
      </c>
      <c r="F65" s="335">
        <v>836</v>
      </c>
      <c r="G65" s="335">
        <v>823</v>
      </c>
      <c r="H65" s="335">
        <v>804</v>
      </c>
      <c r="I65" s="335">
        <v>799</v>
      </c>
      <c r="J65" s="335">
        <v>751</v>
      </c>
      <c r="K65" s="335">
        <v>733</v>
      </c>
      <c r="L65" s="335">
        <v>808</v>
      </c>
      <c r="M65" s="473">
        <v>708</v>
      </c>
      <c r="N65" s="470">
        <v>689</v>
      </c>
      <c r="O65" s="335">
        <v>569</v>
      </c>
      <c r="P65" s="335">
        <v>488</v>
      </c>
      <c r="Q65" s="335">
        <v>463</v>
      </c>
      <c r="R65" s="335">
        <v>0</v>
      </c>
      <c r="S65" s="335">
        <v>0</v>
      </c>
      <c r="T65" s="335">
        <v>54</v>
      </c>
      <c r="U65" s="152">
        <v>9631</v>
      </c>
      <c r="V65" s="486"/>
      <c r="W65" s="152">
        <f>'[4]Table 3 Levels 1&amp;2'!C66</f>
        <v>9794</v>
      </c>
      <c r="X65" s="152">
        <f t="shared" si="1"/>
        <v>-163</v>
      </c>
      <c r="Y65" s="152" t="str">
        <f t="shared" si="2"/>
        <v> </v>
      </c>
      <c r="Z65" s="152">
        <f t="shared" si="0"/>
        <v>-163</v>
      </c>
    </row>
    <row r="66" spans="1:26" ht="12.75">
      <c r="A66" s="28">
        <v>59</v>
      </c>
      <c r="B66" s="151" t="s">
        <v>402</v>
      </c>
      <c r="C66" s="478">
        <v>0</v>
      </c>
      <c r="D66" s="335">
        <v>76</v>
      </c>
      <c r="E66" s="335">
        <v>375</v>
      </c>
      <c r="F66" s="335">
        <v>339</v>
      </c>
      <c r="G66" s="335">
        <v>363</v>
      </c>
      <c r="H66" s="335">
        <v>375</v>
      </c>
      <c r="I66" s="335">
        <v>354</v>
      </c>
      <c r="J66" s="335">
        <v>384</v>
      </c>
      <c r="K66" s="335">
        <v>322</v>
      </c>
      <c r="L66" s="335">
        <v>343</v>
      </c>
      <c r="M66" s="473">
        <v>374</v>
      </c>
      <c r="N66" s="470">
        <v>316</v>
      </c>
      <c r="O66" s="335">
        <v>292</v>
      </c>
      <c r="P66" s="335">
        <v>288</v>
      </c>
      <c r="Q66" s="335">
        <v>329</v>
      </c>
      <c r="R66" s="335">
        <v>0</v>
      </c>
      <c r="S66" s="335">
        <v>0</v>
      </c>
      <c r="T66" s="335">
        <v>0</v>
      </c>
      <c r="U66" s="152">
        <v>4530</v>
      </c>
      <c r="V66" s="486"/>
      <c r="W66" s="152">
        <f>'[4]Table 3 Levels 1&amp;2'!C67</f>
        <v>4496</v>
      </c>
      <c r="X66" s="152">
        <f t="shared" si="1"/>
        <v>34</v>
      </c>
      <c r="Y66" s="152">
        <f t="shared" si="2"/>
        <v>34</v>
      </c>
      <c r="Z66" s="152" t="str">
        <f t="shared" si="0"/>
        <v> </v>
      </c>
    </row>
    <row r="67" spans="1:26" ht="12.75">
      <c r="A67" s="42">
        <v>60</v>
      </c>
      <c r="B67" s="150" t="s">
        <v>403</v>
      </c>
      <c r="C67" s="479">
        <v>0</v>
      </c>
      <c r="D67" s="336">
        <v>49</v>
      </c>
      <c r="E67" s="336">
        <v>611</v>
      </c>
      <c r="F67" s="336">
        <v>609</v>
      </c>
      <c r="G67" s="336">
        <v>565</v>
      </c>
      <c r="H67" s="336">
        <v>565</v>
      </c>
      <c r="I67" s="336">
        <v>568</v>
      </c>
      <c r="J67" s="336">
        <v>569</v>
      </c>
      <c r="K67" s="336">
        <v>564</v>
      </c>
      <c r="L67" s="336">
        <v>593</v>
      </c>
      <c r="M67" s="474">
        <v>709</v>
      </c>
      <c r="N67" s="471">
        <v>592</v>
      </c>
      <c r="O67" s="336">
        <v>540</v>
      </c>
      <c r="P67" s="336">
        <v>484</v>
      </c>
      <c r="Q67" s="336">
        <v>467</v>
      </c>
      <c r="R67" s="336">
        <v>0</v>
      </c>
      <c r="S67" s="336">
        <v>0</v>
      </c>
      <c r="T67" s="336">
        <v>31</v>
      </c>
      <c r="U67" s="153">
        <v>7516</v>
      </c>
      <c r="V67" s="487"/>
      <c r="W67" s="153">
        <f>'[4]Table 3 Levels 1&amp;2'!C68</f>
        <v>7527</v>
      </c>
      <c r="X67" s="153">
        <f t="shared" si="1"/>
        <v>-11</v>
      </c>
      <c r="Y67" s="153" t="str">
        <f t="shared" si="2"/>
        <v> </v>
      </c>
      <c r="Z67" s="153">
        <f t="shared" si="0"/>
        <v>-11</v>
      </c>
    </row>
    <row r="68" spans="1:26" ht="12.75">
      <c r="A68" s="28">
        <v>61</v>
      </c>
      <c r="B68" s="151" t="s">
        <v>404</v>
      </c>
      <c r="C68" s="478">
        <v>0</v>
      </c>
      <c r="D68" s="335">
        <v>21</v>
      </c>
      <c r="E68" s="335">
        <v>244</v>
      </c>
      <c r="F68" s="335">
        <v>244</v>
      </c>
      <c r="G68" s="335">
        <v>293</v>
      </c>
      <c r="H68" s="335">
        <v>265</v>
      </c>
      <c r="I68" s="335">
        <v>251</v>
      </c>
      <c r="J68" s="335">
        <v>275</v>
      </c>
      <c r="K68" s="335">
        <v>285</v>
      </c>
      <c r="L68" s="335">
        <v>296</v>
      </c>
      <c r="M68" s="473">
        <v>329</v>
      </c>
      <c r="N68" s="470">
        <v>248</v>
      </c>
      <c r="O68" s="335">
        <v>258</v>
      </c>
      <c r="P68" s="335">
        <v>246</v>
      </c>
      <c r="Q68" s="335">
        <v>241</v>
      </c>
      <c r="R68" s="335">
        <v>0</v>
      </c>
      <c r="S68" s="335">
        <v>0</v>
      </c>
      <c r="T68" s="335">
        <v>14</v>
      </c>
      <c r="U68" s="152">
        <v>3510</v>
      </c>
      <c r="V68" s="486"/>
      <c r="W68" s="152">
        <f>'[4]Table 3 Levels 1&amp;2'!C69</f>
        <v>3641</v>
      </c>
      <c r="X68" s="152">
        <f t="shared" si="1"/>
        <v>-131</v>
      </c>
      <c r="Y68" s="152" t="str">
        <f t="shared" si="2"/>
        <v> </v>
      </c>
      <c r="Z68" s="152">
        <f t="shared" si="0"/>
        <v>-131</v>
      </c>
    </row>
    <row r="69" spans="1:26" ht="12.75">
      <c r="A69" s="28">
        <v>62</v>
      </c>
      <c r="B69" s="151" t="s">
        <v>405</v>
      </c>
      <c r="C69" s="478">
        <v>12</v>
      </c>
      <c r="D69" s="335">
        <v>38</v>
      </c>
      <c r="E69" s="335">
        <v>171</v>
      </c>
      <c r="F69" s="335">
        <v>185</v>
      </c>
      <c r="G69" s="335">
        <v>143</v>
      </c>
      <c r="H69" s="335">
        <v>185</v>
      </c>
      <c r="I69" s="335">
        <v>203</v>
      </c>
      <c r="J69" s="335">
        <v>199</v>
      </c>
      <c r="K69" s="335">
        <v>214</v>
      </c>
      <c r="L69" s="335">
        <v>194</v>
      </c>
      <c r="M69" s="473">
        <v>188</v>
      </c>
      <c r="N69" s="470">
        <v>206</v>
      </c>
      <c r="O69" s="335">
        <v>151</v>
      </c>
      <c r="P69" s="335">
        <v>137</v>
      </c>
      <c r="Q69" s="335">
        <v>133</v>
      </c>
      <c r="R69" s="335">
        <v>0</v>
      </c>
      <c r="S69" s="335">
        <v>0</v>
      </c>
      <c r="T69" s="335">
        <v>23</v>
      </c>
      <c r="U69" s="152">
        <v>2382</v>
      </c>
      <c r="V69" s="486"/>
      <c r="W69" s="152">
        <f>'[4]Table 3 Levels 1&amp;2'!C70</f>
        <v>2481</v>
      </c>
      <c r="X69" s="152">
        <f t="shared" si="1"/>
        <v>-99</v>
      </c>
      <c r="Y69" s="152" t="str">
        <f t="shared" si="2"/>
        <v> </v>
      </c>
      <c r="Z69" s="152">
        <f t="shared" si="0"/>
        <v>-99</v>
      </c>
    </row>
    <row r="70" spans="1:26" ht="12.75">
      <c r="A70" s="28">
        <v>63</v>
      </c>
      <c r="B70" s="151" t="s">
        <v>406</v>
      </c>
      <c r="C70" s="478">
        <v>0</v>
      </c>
      <c r="D70" s="335">
        <v>19</v>
      </c>
      <c r="E70" s="335">
        <v>165</v>
      </c>
      <c r="F70" s="335">
        <v>161</v>
      </c>
      <c r="G70" s="335">
        <v>163</v>
      </c>
      <c r="H70" s="335">
        <v>179</v>
      </c>
      <c r="I70" s="335">
        <v>203</v>
      </c>
      <c r="J70" s="335">
        <v>164</v>
      </c>
      <c r="K70" s="335">
        <v>188</v>
      </c>
      <c r="L70" s="335">
        <v>184</v>
      </c>
      <c r="M70" s="473">
        <v>172</v>
      </c>
      <c r="N70" s="470">
        <v>180</v>
      </c>
      <c r="O70" s="335">
        <v>152</v>
      </c>
      <c r="P70" s="335">
        <v>163</v>
      </c>
      <c r="Q70" s="335">
        <v>131</v>
      </c>
      <c r="R70" s="335">
        <v>0</v>
      </c>
      <c r="S70" s="335">
        <v>0</v>
      </c>
      <c r="T70" s="335">
        <v>0</v>
      </c>
      <c r="U70" s="152">
        <v>2224</v>
      </c>
      <c r="V70" s="486"/>
      <c r="W70" s="152">
        <f>'[4]Table 3 Levels 1&amp;2'!C71</f>
        <v>2209</v>
      </c>
      <c r="X70" s="152">
        <f t="shared" si="1"/>
        <v>15</v>
      </c>
      <c r="Y70" s="152">
        <f t="shared" si="2"/>
        <v>15</v>
      </c>
      <c r="Z70" s="152" t="str">
        <f t="shared" si="0"/>
        <v> </v>
      </c>
    </row>
    <row r="71" spans="1:26" ht="12.75">
      <c r="A71" s="28">
        <v>64</v>
      </c>
      <c r="B71" s="151" t="s">
        <v>407</v>
      </c>
      <c r="C71" s="478">
        <v>14</v>
      </c>
      <c r="D71" s="335">
        <v>49</v>
      </c>
      <c r="E71" s="335">
        <v>194</v>
      </c>
      <c r="F71" s="335">
        <v>239</v>
      </c>
      <c r="G71" s="335">
        <v>216</v>
      </c>
      <c r="H71" s="335">
        <v>211</v>
      </c>
      <c r="I71" s="335">
        <v>204</v>
      </c>
      <c r="J71" s="335">
        <v>202</v>
      </c>
      <c r="K71" s="335">
        <v>244</v>
      </c>
      <c r="L71" s="335">
        <v>228</v>
      </c>
      <c r="M71" s="473">
        <v>202</v>
      </c>
      <c r="N71" s="470">
        <v>213</v>
      </c>
      <c r="O71" s="335">
        <v>207</v>
      </c>
      <c r="P71" s="335">
        <v>171</v>
      </c>
      <c r="Q71" s="335">
        <v>174</v>
      </c>
      <c r="R71" s="335">
        <v>0</v>
      </c>
      <c r="S71" s="335">
        <v>0</v>
      </c>
      <c r="T71" s="335">
        <v>11</v>
      </c>
      <c r="U71" s="152">
        <v>2779</v>
      </c>
      <c r="V71" s="486"/>
      <c r="W71" s="152">
        <f>'[4]Table 3 Levels 1&amp;2'!C72</f>
        <v>2813</v>
      </c>
      <c r="X71" s="152">
        <f t="shared" si="1"/>
        <v>-34</v>
      </c>
      <c r="Y71" s="152" t="str">
        <f t="shared" si="2"/>
        <v> </v>
      </c>
      <c r="Z71" s="152">
        <f t="shared" si="0"/>
        <v>-34</v>
      </c>
    </row>
    <row r="72" spans="1:26" ht="12.75">
      <c r="A72" s="28">
        <v>65</v>
      </c>
      <c r="B72" s="151" t="s">
        <v>196</v>
      </c>
      <c r="C72" s="478">
        <v>37</v>
      </c>
      <c r="D72" s="335">
        <v>70</v>
      </c>
      <c r="E72" s="335">
        <v>806</v>
      </c>
      <c r="F72" s="335">
        <v>702</v>
      </c>
      <c r="G72" s="335">
        <v>725</v>
      </c>
      <c r="H72" s="335">
        <v>782</v>
      </c>
      <c r="I72" s="335">
        <v>816</v>
      </c>
      <c r="J72" s="335">
        <v>726</v>
      </c>
      <c r="K72" s="335">
        <v>706</v>
      </c>
      <c r="L72" s="335">
        <v>804</v>
      </c>
      <c r="M72" s="473">
        <v>723</v>
      </c>
      <c r="N72" s="470">
        <v>908</v>
      </c>
      <c r="O72" s="335">
        <v>543</v>
      </c>
      <c r="P72" s="335">
        <v>473</v>
      </c>
      <c r="Q72" s="335">
        <v>504</v>
      </c>
      <c r="R72" s="335">
        <v>0</v>
      </c>
      <c r="S72" s="335">
        <v>0</v>
      </c>
      <c r="T72" s="335">
        <v>0</v>
      </c>
      <c r="U72" s="152">
        <v>9325</v>
      </c>
      <c r="V72" s="486"/>
      <c r="W72" s="152">
        <f>'[4]Table 3 Levels 1&amp;2'!C73</f>
        <v>9546</v>
      </c>
      <c r="X72" s="152">
        <f t="shared" si="1"/>
        <v>-221</v>
      </c>
      <c r="Y72" s="152" t="str">
        <f t="shared" si="2"/>
        <v> </v>
      </c>
      <c r="Z72" s="152">
        <f t="shared" si="0"/>
        <v>-221</v>
      </c>
    </row>
    <row r="73" spans="1:26" ht="12.75">
      <c r="A73" s="28">
        <v>66</v>
      </c>
      <c r="B73" s="151" t="s">
        <v>197</v>
      </c>
      <c r="C73" s="479">
        <v>0</v>
      </c>
      <c r="D73" s="335">
        <v>22</v>
      </c>
      <c r="E73" s="335">
        <v>241</v>
      </c>
      <c r="F73" s="335">
        <v>244</v>
      </c>
      <c r="G73" s="335">
        <v>233</v>
      </c>
      <c r="H73" s="335">
        <v>210</v>
      </c>
      <c r="I73" s="335">
        <v>232</v>
      </c>
      <c r="J73" s="335">
        <v>198</v>
      </c>
      <c r="K73" s="335">
        <v>203</v>
      </c>
      <c r="L73" s="335">
        <v>223</v>
      </c>
      <c r="M73" s="473">
        <v>256</v>
      </c>
      <c r="N73" s="470">
        <v>227</v>
      </c>
      <c r="O73" s="335">
        <v>187</v>
      </c>
      <c r="P73" s="335">
        <v>200</v>
      </c>
      <c r="Q73" s="335">
        <v>190</v>
      </c>
      <c r="R73" s="335">
        <v>0</v>
      </c>
      <c r="S73" s="335">
        <v>0</v>
      </c>
      <c r="T73" s="335">
        <v>21</v>
      </c>
      <c r="U73" s="152">
        <v>2887</v>
      </c>
      <c r="V73" s="486"/>
      <c r="W73" s="152">
        <f>'[4]Table 3 Levels 1&amp;2'!C74</f>
        <v>3016</v>
      </c>
      <c r="X73" s="152">
        <f>+U73-W73</f>
        <v>-129</v>
      </c>
      <c r="Y73" s="152" t="str">
        <f>IF(X73&gt;0,X73," ")</f>
        <v> </v>
      </c>
      <c r="Z73" s="152">
        <f t="shared" si="0"/>
        <v>-129</v>
      </c>
    </row>
    <row r="74" spans="1:26" ht="13.5" thickBot="1">
      <c r="A74" s="154"/>
      <c r="B74" s="154" t="s">
        <v>522</v>
      </c>
      <c r="C74" s="155">
        <f aca="true" t="shared" si="3" ref="C74:P74">SUM(C8:C73)</f>
        <v>1278</v>
      </c>
      <c r="D74" s="155">
        <f t="shared" si="3"/>
        <v>5687</v>
      </c>
      <c r="E74" s="155">
        <f t="shared" si="3"/>
        <v>54574</v>
      </c>
      <c r="F74" s="155">
        <f t="shared" si="3"/>
        <v>55573</v>
      </c>
      <c r="G74" s="155">
        <f t="shared" si="3"/>
        <v>54448</v>
      </c>
      <c r="H74" s="155">
        <f t="shared" si="3"/>
        <v>56241</v>
      </c>
      <c r="I74" s="155">
        <f t="shared" si="3"/>
        <v>59870</v>
      </c>
      <c r="J74" s="155">
        <f t="shared" si="3"/>
        <v>54589</v>
      </c>
      <c r="K74" s="155">
        <f t="shared" si="3"/>
        <v>57553</v>
      </c>
      <c r="L74" s="155">
        <f t="shared" si="3"/>
        <v>56072</v>
      </c>
      <c r="M74" s="155">
        <f t="shared" si="3"/>
        <v>60357</v>
      </c>
      <c r="N74" s="155">
        <f t="shared" si="3"/>
        <v>57056</v>
      </c>
      <c r="O74" s="155">
        <f t="shared" si="3"/>
        <v>48581</v>
      </c>
      <c r="P74" s="155">
        <f t="shared" si="3"/>
        <v>43294</v>
      </c>
      <c r="Q74" s="155">
        <f>SUM(Q8:Q73)</f>
        <v>41774</v>
      </c>
      <c r="R74" s="621">
        <v>0</v>
      </c>
      <c r="S74" s="621">
        <f>SUM(S8:S73)</f>
        <v>0</v>
      </c>
      <c r="T74" s="155">
        <f>SUM(T8:T73)</f>
        <v>1291</v>
      </c>
      <c r="U74" s="155">
        <f>SUM(U8:U73)</f>
        <v>708238</v>
      </c>
      <c r="V74" s="155"/>
      <c r="W74" s="155">
        <f>SUM(W8:W73)</f>
        <v>712598</v>
      </c>
      <c r="X74" s="155">
        <f>SUM(X8:X73)</f>
        <v>-4360</v>
      </c>
      <c r="Y74" s="155">
        <f>SUM(Y8:Y73)</f>
        <v>2350</v>
      </c>
      <c r="Z74" s="155">
        <f>SUM(Z8:Z73)</f>
        <v>-6710</v>
      </c>
    </row>
    <row r="75" spans="2:38" ht="15" customHeight="1" thickTop="1">
      <c r="B75" s="156"/>
      <c r="C75" s="766"/>
      <c r="D75" s="767"/>
      <c r="E75" s="767"/>
      <c r="F75" s="767"/>
      <c r="G75" s="767"/>
      <c r="H75" s="767"/>
      <c r="I75" s="767"/>
      <c r="J75" s="767"/>
      <c r="K75" s="767"/>
      <c r="L75" s="767"/>
      <c r="M75" s="767"/>
      <c r="N75" s="766"/>
      <c r="O75" s="768"/>
      <c r="P75" s="768"/>
      <c r="Q75" s="768"/>
      <c r="R75" s="768"/>
      <c r="S75" s="768"/>
      <c r="T75" s="768"/>
      <c r="U75" s="488"/>
      <c r="V75" s="488"/>
      <c r="W75" s="462"/>
      <c r="X75" s="462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</row>
    <row r="77" ht="12.75">
      <c r="S77" s="310" t="s">
        <v>502</v>
      </c>
    </row>
    <row r="78" ht="12.75">
      <c r="C78" s="388"/>
    </row>
    <row r="79" spans="19:21" ht="12.75">
      <c r="S79" t="s">
        <v>413</v>
      </c>
      <c r="U79" s="639">
        <f>'Table 5 Lab Schools'!B9</f>
        <v>833</v>
      </c>
    </row>
    <row r="80" spans="19:21" ht="12.75">
      <c r="S80" t="s">
        <v>503</v>
      </c>
      <c r="U80" s="393">
        <f>'Table 5 Lab Schools'!B11</f>
        <v>444</v>
      </c>
    </row>
    <row r="81" spans="20:21" ht="12.75">
      <c r="T81" s="12" t="s">
        <v>504</v>
      </c>
      <c r="U81">
        <f>+U80+U79</f>
        <v>1277</v>
      </c>
    </row>
    <row r="83" spans="20:21" ht="13.5" thickBot="1">
      <c r="T83" s="12" t="s">
        <v>505</v>
      </c>
      <c r="U83" s="311">
        <f>+U81+U74</f>
        <v>709515</v>
      </c>
    </row>
    <row r="84" ht="13.5" thickTop="1"/>
  </sheetData>
  <mergeCells count="4">
    <mergeCell ref="C3:M4"/>
    <mergeCell ref="N3:T4"/>
    <mergeCell ref="C75:M75"/>
    <mergeCell ref="N75:T75"/>
  </mergeCells>
  <printOptions horizontalCentered="1"/>
  <pageMargins left="0.25" right="0.25" top="1" bottom="0.25" header="0.23" footer="0.25"/>
  <pageSetup firstPageNumber="22" useFirstPageNumber="1" horizontalDpi="600" verticalDpi="600" orientation="portrait" paperSize="5" scale="85" r:id="rId1"/>
  <headerFooter alignWithMargins="0">
    <oddHeader>&amp;L&amp;"Arial,Bold"&amp;16TABLE 8: OCTOBER 1, 2002 STUDENT MEMBERSHIP&amp;R
</oddHeader>
    <oddFooter>&amp;L&amp;F&amp;R&amp;P</oddFooter>
  </headerFooter>
  <colBreaks count="2" manualBreakCount="2">
    <brk id="13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2003-05-27T16:57:32Z</cp:lastPrinted>
  <dcterms:created xsi:type="dcterms:W3CDTF">1999-11-15T20:37:39Z</dcterms:created>
  <dcterms:modified xsi:type="dcterms:W3CDTF">2003-05-27T16:57:46Z</dcterms:modified>
  <cp:category/>
  <cp:version/>
  <cp:contentType/>
  <cp:contentStatus/>
</cp:coreProperties>
</file>