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1340" windowHeight="6435" tabRatio="601" firstSheet="3" activeTab="3"/>
  </bookViews>
  <sheets>
    <sheet name="Table 1 State Summary" sheetId="1" r:id="rId1"/>
    <sheet name="Table 2 Distribution &amp; Adjusts" sheetId="2" r:id="rId2"/>
    <sheet name="Table 3 Levels 1&amp;2" sheetId="3" r:id="rId3"/>
    <sheet name="Table 4 Level 3" sheetId="4" r:id="rId4"/>
    <sheet name="Table 5 Lab Schools_Revised" sheetId="5" r:id="rId5"/>
    <sheet name="Table 6 Local Wealth Factor" sheetId="6" r:id="rId6"/>
    <sheet name="Table 7 Local Revenue" sheetId="7" r:id="rId7"/>
    <sheet name="Table 8 Membership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'Table 1 State Summary'!$A$1:$S$51</definedName>
    <definedName name="_xlnm.Print_Area" localSheetId="1">'Table 2 Distribution &amp; Adjusts'!$C$6:$N$74</definedName>
    <definedName name="_xlnm.Print_Area" localSheetId="2">'Table 3 Levels 1&amp;2'!$C$9:$BG$76</definedName>
    <definedName name="_xlnm.Print_Area" localSheetId="3">'Table 4 Level 3'!$C$1:$AE$73</definedName>
    <definedName name="_xlnm.Print_Area" localSheetId="4">'Table 5 Lab Schools_Revised'!$A$2:$K$12</definedName>
    <definedName name="_xlnm.Print_Area" localSheetId="5">'Table 6 Local Wealth Factor'!$C$8:$Q$75</definedName>
    <definedName name="_xlnm.Print_Area" localSheetId="6">'Table 7 Local Revenue'!$D$8:$AL$75</definedName>
    <definedName name="_xlnm.Print_Area" localSheetId="7">'Table 8 Membership'!$C$9:$Z$76</definedName>
    <definedName name="_xlnm.Print_Titles" localSheetId="1">'Table 2 Distribution &amp; Adjusts'!$B:$B,'Table 2 Distribution &amp; Adjusts'!$1:$5</definedName>
    <definedName name="_xlnm.Print_Titles" localSheetId="2">'Table 3 Levels 1&amp;2'!$B:$B,'Table 3 Levels 1&amp;2'!$3:$8</definedName>
    <definedName name="_xlnm.Print_Titles" localSheetId="3">'Table 4 Level 3'!$B:$B,'Table 4 Level 3'!$1:$5</definedName>
    <definedName name="_xlnm.Print_Titles" localSheetId="5">'Table 6 Local Wealth Factor'!$B:$B,'Table 6 Local Wealth Factor'!$3:$7</definedName>
    <definedName name="_xlnm.Print_Titles" localSheetId="6">'Table 7 Local Revenue'!$B:$C,'Table 7 Local Revenue'!$2:$7</definedName>
    <definedName name="_xlnm.Print_Titles" localSheetId="7">'Table 8 Membership'!$B:$B,'Table 8 Membership'!$4:$8</definedName>
  </definedNames>
  <calcPr fullCalcOnLoad="1"/>
</workbook>
</file>

<file path=xl/sharedStrings.xml><?xml version="1.0" encoding="utf-8"?>
<sst xmlns="http://schemas.openxmlformats.org/spreadsheetml/2006/main" count="1232" uniqueCount="737">
  <si>
    <t>Table 8, col U 80 &amp; U81</t>
  </si>
  <si>
    <t>Uses 90-91 # of teachers and 90-91 dollars. In 00-01 added into per pupil.  Col 20 * $16,200</t>
  </si>
  <si>
    <t>col. 4 - col. 5</t>
  </si>
  <si>
    <t>2000-01 Budg Letter, Table 3, col.2         Hardcoded</t>
  </si>
  <si>
    <t>2000-01 Budg Letter, Table 4, col. 27         Hardcoded</t>
  </si>
  <si>
    <t xml:space="preserve"> 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</si>
  <si>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</si>
  <si>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</si>
  <si>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</si>
  <si>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</si>
  <si>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</si>
  <si>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</si>
  <si>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</si>
  <si>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</si>
  <si>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</si>
  <si>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</si>
  <si>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</si>
  <si>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</si>
  <si>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</si>
  <si>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</si>
  <si>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</si>
  <si>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</si>
  <si>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</si>
  <si>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</si>
  <si>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</si>
  <si>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</si>
  <si>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</si>
  <si>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</si>
  <si>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</si>
  <si>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</si>
  <si>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</si>
  <si>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</si>
  <si>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</si>
  <si>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</si>
  <si>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</si>
  <si>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</si>
  <si>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</si>
  <si>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</si>
  <si>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</si>
  <si>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</si>
  <si>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</si>
  <si>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</si>
  <si>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</si>
  <si>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</si>
  <si>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</si>
  <si>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</si>
  <si>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</si>
  <si>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</si>
  <si>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</si>
  <si>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</si>
  <si>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</si>
  <si>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</si>
  <si>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</si>
  <si>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</si>
  <si>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</si>
  <si>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</si>
  <si>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</si>
  <si>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</si>
  <si>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</si>
  <si>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</si>
  <si>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</si>
  <si>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</si>
  <si>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</si>
  <si>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</si>
  <si>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</si>
  <si>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</si>
  <si>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</si>
  <si>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</si>
  <si>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</si>
  <si>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</si>
  <si>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</si>
  <si>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</si>
  <si>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AT-RISK STUDENTS (PER SIS)</t>
  </si>
  <si>
    <t>AT-RISK WEIGHTED COST</t>
  </si>
  <si>
    <t>VOC UNITS (PER ANNUAL SCHOOL REPORT)</t>
  </si>
  <si>
    <t>VOC ED WEIGHTED COST</t>
  </si>
  <si>
    <t xml:space="preserve"> SPECIAL ED OTHER EXCEPTIONALITIES STUDENTS (PER LANSER)</t>
  </si>
  <si>
    <t>OTHER EXCEPTIONALITIES WEIGHTED COST</t>
  </si>
  <si>
    <t>SPECIAL ED GIFTED AND TALENTED STUDENTS (PER LANSER)</t>
  </si>
  <si>
    <t>GIFTED AND TALENTED WEIGHTED COST</t>
  </si>
  <si>
    <t>ECONOMY OF SCALE ELIGIBLE  DISTRICT MEMBERSHIP IF LESS THAN 7,500 THEN 7,500 LESS OCT.1MEMBERSHIP</t>
  </si>
  <si>
    <t>ECONOMY OF SCALE WEIGHTED COST</t>
  </si>
  <si>
    <t xml:space="preserve">          PROPERTY AND SALES CAPACITY</t>
  </si>
  <si>
    <t>DEBT SERVICE TAXES</t>
  </si>
  <si>
    <t>PER PUPIL</t>
  </si>
  <si>
    <t>RANK</t>
  </si>
  <si>
    <t>TOTAL ASSESSED PROPERTY VALUE</t>
  </si>
  <si>
    <t>ASSESSED HOMESTEAD EXEMPTION</t>
  </si>
  <si>
    <t>NET ASSESSED TAXABLE PROPERTY</t>
  </si>
  <si>
    <t>PARISH MILL RATE</t>
  </si>
  <si>
    <t>PARISH REVENUE AMOUNT</t>
  </si>
  <si>
    <t>DIST MILL LOW</t>
  </si>
  <si>
    <t>DIST MILL HIGH</t>
  </si>
  <si>
    <t>DIST REVENUE AMOUNT</t>
  </si>
  <si>
    <t>REVENUE PARISHWIDE INCL. DEBT</t>
  </si>
  <si>
    <t>REVENUE DISTRICT INCL. DEBT</t>
  </si>
  <si>
    <t>TOTAL ALL AD VALOREM REV. INCL. DEBT</t>
  </si>
  <si>
    <t>TOTAL AD VALOREM TAXES (DEBT)</t>
  </si>
  <si>
    <t>TOTAL AD VALOREM TAXES    (NON DEBT)</t>
  </si>
  <si>
    <t>SALES TAXES</t>
  </si>
  <si>
    <t>COMBINED SALES PERCENT</t>
  </si>
  <si>
    <t>SALES REVENUE (NON-DEBT)</t>
  </si>
  <si>
    <t>SALES REVENUE (DEBT)</t>
  </si>
  <si>
    <t>TOTAL SALES TAX REVENUE</t>
  </si>
  <si>
    <t>COMPUTED SALES TAX BASE</t>
  </si>
  <si>
    <t>NON-DEBT RATE</t>
  </si>
  <si>
    <t>DEBT RATE</t>
  </si>
  <si>
    <t>PROPERTY CAPACITY INCLUDING DEBT</t>
  </si>
  <si>
    <t>SALES CAPACITY INCLUDING DEBT</t>
  </si>
  <si>
    <t>COMBINED CAPACITY INCLUDING DEBT</t>
  </si>
  <si>
    <t>EFFORT INDEX</t>
  </si>
  <si>
    <t>School System</t>
  </si>
  <si>
    <t>Per Pupil Amount</t>
  </si>
  <si>
    <t>Hide</t>
  </si>
  <si>
    <t xml:space="preserve">Economy-of-Scale Weighted Add-On Units </t>
  </si>
  <si>
    <t xml:space="preserve">Total Weighted Add-On Students and/or Units </t>
  </si>
  <si>
    <t>Local Wealth Factor (LWF)</t>
  </si>
  <si>
    <t xml:space="preserve">Weighted Proportion State Membership </t>
  </si>
  <si>
    <t xml:space="preserve">Local Proration Factor </t>
  </si>
  <si>
    <t xml:space="preserve">Local Share of Level 1 </t>
  </si>
  <si>
    <t xml:space="preserve">Local Share Percent </t>
  </si>
  <si>
    <t xml:space="preserve">State Share Percent </t>
  </si>
  <si>
    <t xml:space="preserve">Local Revenue Over Level 1 </t>
  </si>
  <si>
    <t xml:space="preserve">Local Revenue Under Level 1 </t>
  </si>
  <si>
    <t xml:space="preserve">Percent State </t>
  </si>
  <si>
    <t xml:space="preserve">Level 2 State Liability </t>
  </si>
  <si>
    <t xml:space="preserve">State and Local Participation in Level 2 </t>
  </si>
  <si>
    <t xml:space="preserve">TOTAL LEVEL 1 COSTS </t>
  </si>
  <si>
    <t xml:space="preserve">STATE SHARE OF LEVEL 1 </t>
  </si>
  <si>
    <t>SCHOOL DISTRICTS</t>
  </si>
  <si>
    <t>Due State (-)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</si>
  <si>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</si>
  <si>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</si>
  <si>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</si>
  <si>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</si>
  <si>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</si>
  <si>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</si>
  <si>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</si>
  <si>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</si>
  <si>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</si>
  <si>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</si>
  <si>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</si>
  <si>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</si>
  <si>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</si>
  <si>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</si>
  <si>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</si>
  <si>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</si>
  <si>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</si>
  <si>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</si>
  <si>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</si>
  <si>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</si>
  <si>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</si>
  <si>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</si>
  <si>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</si>
  <si>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</si>
  <si>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</si>
  <si>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</si>
  <si>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</si>
  <si>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</si>
  <si>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</si>
  <si>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</si>
  <si>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</si>
  <si>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</si>
  <si>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</si>
  <si>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</si>
  <si>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</si>
  <si>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</si>
  <si>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</si>
  <si>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</si>
  <si>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</si>
  <si>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</si>
  <si>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</si>
  <si>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</si>
  <si>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</si>
  <si>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</si>
  <si>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</si>
  <si>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</si>
  <si>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</si>
  <si>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</si>
  <si>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</si>
  <si>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</si>
  <si>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</si>
  <si>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</si>
  <si>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</si>
  <si>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</si>
  <si>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</si>
  <si>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</si>
  <si>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</si>
  <si>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</si>
  <si>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</si>
  <si>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</si>
  <si>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</si>
  <si>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</si>
  <si>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</si>
  <si>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</si>
  <si>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</si>
  <si>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</si>
  <si>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</si>
  <si>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</si>
  <si>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</si>
  <si>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</si>
  <si>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</si>
  <si>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</si>
  <si>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</si>
  <si>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</si>
  <si>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</si>
  <si>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</si>
  <si>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</si>
  <si>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(3a)</t>
  </si>
  <si>
    <t>(3b)</t>
  </si>
  <si>
    <t>(4a)</t>
  </si>
  <si>
    <t>(4b)</t>
  </si>
  <si>
    <t>(5a)</t>
  </si>
  <si>
    <t>(5b)</t>
  </si>
  <si>
    <t>(13)</t>
  </si>
  <si>
    <t>(16)</t>
  </si>
  <si>
    <t xml:space="preserve">  AD VALOREM CONSTITUTIONAL TAX</t>
  </si>
  <si>
    <t>AD VALOREM RENEWABLE TAXES</t>
  </si>
  <si>
    <t>(24)</t>
  </si>
  <si>
    <t>(25)</t>
  </si>
  <si>
    <t>(26)</t>
  </si>
  <si>
    <t>SUMMARY OF ADVALOREM TAXES</t>
  </si>
  <si>
    <t>FISCAL CAPACITY INDEX LWF</t>
  </si>
  <si>
    <t>RANK OF LWF</t>
  </si>
  <si>
    <t>Rank Effort</t>
  </si>
  <si>
    <t>(2a)</t>
  </si>
  <si>
    <t>(2b)</t>
  </si>
  <si>
    <t>1998-99 BUDGET</t>
  </si>
  <si>
    <t>LETTER FACTORS</t>
  </si>
  <si>
    <t>&amp; COST</t>
  </si>
  <si>
    <t>Level 1 Base Per Pupil Amount</t>
  </si>
  <si>
    <t>1.</t>
  </si>
  <si>
    <t>October 1 Membership</t>
  </si>
  <si>
    <t>2.</t>
  </si>
  <si>
    <t>At-Risk Weight Factor (17%)</t>
  </si>
  <si>
    <t>3.</t>
  </si>
  <si>
    <t>Vocational Weight Factor (5%)</t>
  </si>
  <si>
    <t>4.</t>
  </si>
  <si>
    <t>Exceptionalities Weight Factor (150%)</t>
  </si>
  <si>
    <t>5.</t>
  </si>
  <si>
    <t>Gifted/Talented Weight Factor (60%)</t>
  </si>
  <si>
    <t>6.</t>
  </si>
  <si>
    <t xml:space="preserve">     (Max 20% at zero Membership &lt;7,500)</t>
  </si>
  <si>
    <t>Total Level 1 State and Local Costs (A X B)</t>
  </si>
  <si>
    <t>State Share of Cost (C X 65%)</t>
  </si>
  <si>
    <t>Local Share of Cost (C X 35%)</t>
  </si>
  <si>
    <t>Level 2 Eligible Local Revenue</t>
  </si>
  <si>
    <t>Total State Share Implementation of</t>
  </si>
  <si>
    <t>Plus/(Minus) Prior Year Adjustments</t>
  </si>
  <si>
    <t>Total State MFP Appropriation</t>
  </si>
  <si>
    <t>Budget Amendment to Increase/(Decrease)</t>
  </si>
  <si>
    <t>A.</t>
  </si>
  <si>
    <t>B.</t>
  </si>
  <si>
    <t>C.</t>
  </si>
  <si>
    <t>D.</t>
  </si>
  <si>
    <t>E.</t>
  </si>
  <si>
    <t>G.</t>
  </si>
  <si>
    <t>H.</t>
  </si>
  <si>
    <t>I.</t>
  </si>
  <si>
    <t>J.</t>
  </si>
  <si>
    <t>K.</t>
  </si>
  <si>
    <t>L.</t>
  </si>
  <si>
    <t>M.</t>
  </si>
  <si>
    <t>N.</t>
  </si>
  <si>
    <t>Total Allocation</t>
  </si>
  <si>
    <t xml:space="preserve">TOTAL </t>
  </si>
  <si>
    <t>Change</t>
  </si>
  <si>
    <t>Circular # 908</t>
  </si>
  <si>
    <t>Circular # 921</t>
  </si>
  <si>
    <t>Leg. Projection</t>
  </si>
  <si>
    <t>Initial Allocation</t>
  </si>
  <si>
    <t>LEA Projection</t>
  </si>
  <si>
    <t>Circular #991</t>
  </si>
  <si>
    <t>Changes From</t>
  </si>
  <si>
    <t>MFP Formula Items</t>
  </si>
  <si>
    <t>1996-97 BUDGET</t>
  </si>
  <si>
    <t>1997-98 BUDGET</t>
  </si>
  <si>
    <t>1998-99 Budget</t>
  </si>
  <si>
    <t>1998-99  BUDGET</t>
  </si>
  <si>
    <t xml:space="preserve">1996-97 to </t>
  </si>
  <si>
    <t>1997-98 to</t>
  </si>
  <si>
    <t>Leg. Projection to</t>
  </si>
  <si>
    <t>%</t>
  </si>
  <si>
    <t>1997-98</t>
  </si>
  <si>
    <t>1998-99</t>
  </si>
  <si>
    <t>Preliminary Budget</t>
  </si>
  <si>
    <t xml:space="preserve">Economy-of-Scale Weight Factor </t>
  </si>
  <si>
    <t>Total Local Revenues in MFP</t>
  </si>
  <si>
    <t>Total Net Assessed Property</t>
  </si>
  <si>
    <t>Total Est. Sales Tax Base</t>
  </si>
  <si>
    <t>Average Equivalent Millage Rate</t>
  </si>
  <si>
    <t>Average Equivalent Sales Tax Rate</t>
  </si>
  <si>
    <t>Property Tax Revenue</t>
  </si>
  <si>
    <t>Sales Tax Revenue</t>
  </si>
  <si>
    <t>7.</t>
  </si>
  <si>
    <t>Other Revenues Considered</t>
  </si>
  <si>
    <t>Level 2 State Support (E X 40%)</t>
  </si>
  <si>
    <t>Level 2 State Liability</t>
  </si>
  <si>
    <t>Other Adjustments</t>
  </si>
  <si>
    <t>MFP Distribution Annual Increase</t>
  </si>
  <si>
    <t>TOTAL LOCAL REVENUES FOR USE IN MFP LEVEL 2</t>
  </si>
  <si>
    <t>(34)</t>
  </si>
  <si>
    <t>LEVEL 1 - BASE FOUNDATION OF STATE AND LOCAL COSTS (65/35%)</t>
  </si>
  <si>
    <t>Budgeted FY 1999-2000 Average Teacher Salary</t>
  </si>
  <si>
    <t>SREB 1999-2000 Average Teacher Salary Percent Requirement</t>
  </si>
  <si>
    <t>Number of Classroom Teachers</t>
  </si>
  <si>
    <t>Average Pay Raise Based on Scalise Amendment</t>
  </si>
  <si>
    <t xml:space="preserve">TABLE 1: STATE LEVEL COMPARISON </t>
  </si>
  <si>
    <t>LEA</t>
  </si>
  <si>
    <t>LSU Lab. School</t>
  </si>
  <si>
    <t>Southern Univ. Lab. School</t>
  </si>
  <si>
    <t>Due District (+)</t>
  </si>
  <si>
    <t xml:space="preserve">cols. + 2+  3 + 4 + 5 + 6 </t>
  </si>
  <si>
    <t>col. 12 x col. 11</t>
  </si>
  <si>
    <t>col. 14 / col. 10</t>
  </si>
  <si>
    <t>col. 16 / col. 10</t>
  </si>
  <si>
    <t>col. 10 x 33%</t>
  </si>
  <si>
    <t>Lesser of Col. 19 or 21</t>
  </si>
  <si>
    <t>col. 23 / col. 22</t>
  </si>
  <si>
    <t>col. 22 + col. 23</t>
  </si>
  <si>
    <t xml:space="preserve"> LEVELS 1 and 2 LOCAL SHARE OF COST</t>
  </si>
  <si>
    <t>(14)</t>
  </si>
  <si>
    <t>(15)</t>
  </si>
  <si>
    <t>(17)</t>
  </si>
  <si>
    <t>(18)</t>
  </si>
  <si>
    <t>(19)</t>
  </si>
  <si>
    <t>(20)</t>
  </si>
  <si>
    <t>(21)</t>
  </si>
  <si>
    <t>(22)</t>
  </si>
  <si>
    <t>(23)</t>
  </si>
  <si>
    <t>(27)</t>
  </si>
  <si>
    <t>(28)</t>
  </si>
  <si>
    <t>(29)</t>
  </si>
  <si>
    <t>(30)</t>
  </si>
  <si>
    <t>(31)</t>
  </si>
  <si>
    <t>(32)</t>
  </si>
  <si>
    <t>(33)</t>
  </si>
  <si>
    <t>(35)</t>
  </si>
  <si>
    <r>
      <t xml:space="preserve">TABLE 6 LWF: </t>
    </r>
    <r>
      <rPr>
        <b/>
        <i/>
        <sz val="18"/>
        <color indexed="20"/>
        <rFont val="Arial Narrow"/>
        <family val="2"/>
      </rPr>
      <t>Continued --</t>
    </r>
  </si>
  <si>
    <t>col. 2 / col. 1</t>
  </si>
  <si>
    <t>col. 4 / col. 1</t>
  </si>
  <si>
    <t>col. 1 - col. 2</t>
  </si>
  <si>
    <t>AFR-kpc 62220 col. 3</t>
  </si>
  <si>
    <t>AFR-kpc 62320 col. 3</t>
  </si>
  <si>
    <t>AFR-kpc 62320 col. 4</t>
  </si>
  <si>
    <t>AFR-kpc 62320 col. 5</t>
  </si>
  <si>
    <t>DIST. MILL LOW</t>
  </si>
  <si>
    <t>DIST. MILL HIGH</t>
  </si>
  <si>
    <t># OF DISTS.</t>
  </si>
  <si>
    <t>DIST. REVENUE AMOUNT</t>
  </si>
  <si>
    <t>AFR-kpc 62320 col. 6</t>
  </si>
  <si>
    <t>AFR-kpc 62320 col. 7</t>
  </si>
  <si>
    <t>AFR-kpc 62320 col. 8</t>
  </si>
  <si>
    <t>col. 5 + col. 7 + col. 11</t>
  </si>
  <si>
    <t>AFR-kpc 62620 col. 3</t>
  </si>
  <si>
    <t>AFR-kpc 62620 col. 4</t>
  </si>
  <si>
    <t>AFR-kpc 62620 col. 5</t>
  </si>
  <si>
    <t>AFR-kpc 62620 col. 6</t>
  </si>
  <si>
    <t>AFR-kpc 62620 col. 7</t>
  </si>
  <si>
    <t>AFR-kpc 62620 col. 8</t>
  </si>
  <si>
    <t>col. 14 + col. 18</t>
  </si>
  <si>
    <t>col. 4 + col. 6 + col. 13</t>
  </si>
  <si>
    <t>col. 5 + col. 7 + col. 14</t>
  </si>
  <si>
    <t>col. 11 + col. 18</t>
  </si>
  <si>
    <t>(col. 19 / col. 3) * 1000</t>
  </si>
  <si>
    <t>(col. 12/ col. 3) * 1000</t>
  </si>
  <si>
    <t>AFR-kpc 63300 col. 3</t>
  </si>
  <si>
    <t>AFR kpc 63320 col. 4</t>
  </si>
  <si>
    <t>AFR kpc 63320 col. 5</t>
  </si>
  <si>
    <t>col. 28 + col. 29</t>
  </si>
  <si>
    <t>col. 30 / col. 27</t>
  </si>
  <si>
    <t>col. 28/col. 31</t>
  </si>
  <si>
    <t>col. 29/col. 31</t>
  </si>
  <si>
    <t>(2)</t>
  </si>
  <si>
    <t xml:space="preserve">Total Weighted Membership and/or Units </t>
  </si>
  <si>
    <t xml:space="preserve">Local Per Pupil                ( Levels 1 and 2) </t>
  </si>
  <si>
    <t>col 2 X col 9</t>
  </si>
  <si>
    <t>col 4 X col 9</t>
  </si>
  <si>
    <t>col 5 X col 9</t>
  </si>
  <si>
    <t>if col 1 is less than 7500, then 7500 less col 1, otherwise 0</t>
  </si>
  <si>
    <t>col 6a / 37,500 max of 20% (7,500/37,500)</t>
  </si>
  <si>
    <t>col 6 x col 9</t>
  </si>
  <si>
    <t>col. 6b x  col. 1</t>
  </si>
  <si>
    <t>col. 8 x col. 9</t>
  </si>
  <si>
    <t>Table 6, col. 6 Capacity Index</t>
  </si>
  <si>
    <t>col.8 / Grand Total of col. 8</t>
  </si>
  <si>
    <t>col. 1 + col. 7</t>
  </si>
  <si>
    <t xml:space="preserve">GRADE LEVELS </t>
  </si>
  <si>
    <t>GRADE LEVLES</t>
  </si>
  <si>
    <t>Oct. 1,</t>
  </si>
  <si>
    <t>Infants</t>
  </si>
  <si>
    <t>Pre-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</si>
  <si>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</si>
  <si>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</si>
  <si>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</si>
  <si>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</si>
  <si>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</si>
  <si>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</si>
  <si>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</si>
  <si>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</si>
  <si>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</si>
  <si>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</si>
  <si>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</si>
  <si>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</si>
  <si>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</si>
  <si>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</si>
  <si>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</si>
  <si>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Ungraded</t>
  </si>
  <si>
    <t>LEA Total</t>
  </si>
  <si>
    <t>School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</si>
  <si>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</si>
  <si>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</si>
  <si>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</si>
  <si>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</si>
  <si>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</si>
  <si>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</si>
  <si>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</si>
  <si>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</si>
  <si>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</si>
  <si>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</si>
  <si>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</si>
  <si>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</si>
  <si>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</si>
  <si>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</si>
  <si>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</si>
  <si>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</si>
  <si>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</si>
  <si>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</si>
  <si>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</si>
  <si>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</si>
  <si>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</si>
  <si>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</si>
  <si>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</si>
  <si>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</si>
  <si>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</si>
  <si>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</si>
  <si>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</si>
  <si>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</si>
  <si>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</si>
  <si>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</si>
  <si>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</si>
  <si>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</si>
  <si>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</si>
  <si>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</si>
  <si>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</si>
  <si>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</si>
  <si>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</si>
  <si>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</si>
  <si>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</si>
  <si>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</si>
  <si>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</si>
  <si>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</si>
  <si>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</si>
  <si>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</si>
  <si>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</si>
  <si>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</si>
  <si>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</si>
  <si>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</si>
  <si>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</si>
  <si>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</si>
  <si>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</si>
  <si>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</si>
  <si>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</si>
  <si>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</si>
  <si>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</si>
  <si>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</si>
  <si>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</si>
  <si>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</si>
  <si>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</si>
  <si>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</si>
  <si>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</si>
  <si>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</si>
  <si>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</si>
  <si>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 xml:space="preserve">Total State Formula  Allocation </t>
  </si>
  <si>
    <t xml:space="preserve">Weighted Add-on Student At Risk </t>
  </si>
  <si>
    <t xml:space="preserve">Weighted Add-On Units Voc. Ed. </t>
  </si>
  <si>
    <t xml:space="preserve"> Weighted Add-On Students Other Excep - tionalities </t>
  </si>
  <si>
    <t xml:space="preserve"> Weighted Add-On Students Gifted/ Talented </t>
  </si>
  <si>
    <t>Southern Univ.</t>
  </si>
  <si>
    <t>Lab. School</t>
  </si>
  <si>
    <t>LSU</t>
  </si>
  <si>
    <t>PARISHWIDE  MILLAGE INCL. DEBT</t>
  </si>
  <si>
    <t>2000-2001 Adjustments Due to Student, CAFR &amp; AFR Audits</t>
  </si>
  <si>
    <t>Change in MFP Distribution between 2000-2001 and 2001-2002</t>
  </si>
  <si>
    <t>Increases in MFP Funding for 2001-2002</t>
  </si>
  <si>
    <t>Decreases in MFP Funding for 2001-2002</t>
  </si>
  <si>
    <t>Repayment of 2000-01 One-Time Adjustment</t>
  </si>
  <si>
    <t>Rank</t>
  </si>
  <si>
    <t>Reduction Adjustment for Increased Students</t>
  </si>
  <si>
    <t>Increased MFP Funding Plus Repayment &amp; Adjustment</t>
  </si>
  <si>
    <t>Level 3 Pay Raise Minimum Additional Funding Needed</t>
  </si>
  <si>
    <r>
      <t xml:space="preserve">2001-2002 Total MFP Distribution </t>
    </r>
    <r>
      <rPr>
        <b/>
        <i/>
        <sz val="10"/>
        <color indexed="18"/>
        <rFont val="Arial"/>
        <family val="2"/>
      </rPr>
      <t>Per October 1 Membership</t>
    </r>
  </si>
  <si>
    <t>MFP 2002 STATE &amp; LOCAL COST PER OCT 1 MEMBERSHIP</t>
  </si>
  <si>
    <t>Per Pupil in October 1 Membership</t>
  </si>
  <si>
    <t>No. of Students</t>
  </si>
  <si>
    <t>Minimum Pay Raise Support</t>
  </si>
  <si>
    <t>Hold Harmless</t>
  </si>
  <si>
    <t>TOTAL STATE SUBSEQUENT YEAR CHANGE - CASH BASIS</t>
  </si>
  <si>
    <t>MFP Appropriation (M-N)</t>
  </si>
  <si>
    <t>Total Weighted Membership</t>
  </si>
  <si>
    <t>Per Pupil</t>
  </si>
  <si>
    <t>No. of Districts</t>
  </si>
  <si>
    <t>HH</t>
  </si>
  <si>
    <t>2001 MFP</t>
  </si>
  <si>
    <t>One time</t>
  </si>
  <si>
    <t>Actual Dist.</t>
  </si>
  <si>
    <t>2001 Budget Letter                                        Level 1 &amp; 2 without Adjustments &amp; No HH</t>
  </si>
  <si>
    <t>HOLD HARMLESS</t>
  </si>
  <si>
    <t xml:space="preserve">2001-2002        Per Pupil State Share            (Levels 1, 2, &amp; 3) </t>
  </si>
  <si>
    <t xml:space="preserve">State Funds as Percent of Total State &amp; Local </t>
  </si>
  <si>
    <t>2001-2002 STATE SHARE OF COST (LEVELS 1, 2, &amp; 3)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</si>
  <si>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</si>
  <si>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</si>
  <si>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</si>
  <si>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</si>
  <si>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</si>
  <si>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</si>
  <si>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</si>
  <si>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</si>
  <si>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</si>
  <si>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</si>
  <si>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 xml:space="preserve">STATE AID LEVEL 2 </t>
  </si>
  <si>
    <t>ELIGIBLE LOCAL REVENUE LEVEL 2</t>
  </si>
  <si>
    <t xml:space="preserve">Local Revenue Limit on Level 2 State Support </t>
  </si>
  <si>
    <t>5 / 8 months</t>
  </si>
  <si>
    <t>7 - 8</t>
  </si>
  <si>
    <t>col. 4</t>
  </si>
  <si>
    <t xml:space="preserve"> 4 - 8</t>
  </si>
  <si>
    <t>Monthly Payments July through February</t>
  </si>
  <si>
    <t>Monthly Difference</t>
  </si>
  <si>
    <t>1999-2000 Budget Letter Actual With Adjustments</t>
  </si>
  <si>
    <t>Revised Initial September 1999-2000 Allocation With Adjustments</t>
  </si>
  <si>
    <t>Annual Difference 1999-2000 Actual with Adjustments to Initial Allocation with Adjustments</t>
  </si>
  <si>
    <t>%  Difference 1999-2000 Actual to Initial Allocation</t>
  </si>
  <si>
    <t>MFP Balance to be Distributed for 2001-2002</t>
  </si>
  <si>
    <t>Change in MFP Distribution between 2000-01 and 2001-02</t>
  </si>
  <si>
    <t xml:space="preserve">Local Revenue as Percent of Total State &amp; Local </t>
  </si>
  <si>
    <t>ECONOMY OF SCALE PERCENT SUPPORT</t>
  </si>
  <si>
    <t>2001-2002 Total MFP Distribution with Adjustments</t>
  </si>
  <si>
    <t>This needs to reconcile with ISIS!!</t>
  </si>
  <si>
    <t xml:space="preserve">ACTUAL REVENUES  (INCLUDING DEBT) </t>
  </si>
  <si>
    <r>
      <t xml:space="preserve">Table 8: </t>
    </r>
    <r>
      <rPr>
        <b/>
        <i/>
        <sz val="18"/>
        <rFont val="Arial"/>
        <family val="2"/>
      </rPr>
      <t>Continued --</t>
    </r>
  </si>
  <si>
    <t>TOTAL AVG. MILL RATE (DEBT)</t>
  </si>
  <si>
    <t>TOTAL AVG. MILL RATE (NON DEBT)</t>
  </si>
  <si>
    <t>TOTAL AVG. MILL RATE INCLUDING DEBT</t>
  </si>
  <si>
    <t>OTHER REVENUES: Includes State and Federal taxes in lieu of &amp; 50% of earnings from 16th section and from other real estate</t>
  </si>
  <si>
    <t>OTHER REVENUES:  Includes State and Federal taxes in lieu of &amp; 50% of earnings from 16th section and from other real estate</t>
  </si>
  <si>
    <t>LOCAL WEALTH FACTOR</t>
  </si>
  <si>
    <t>LOCAL EFFORT INDEX</t>
  </si>
  <si>
    <t>Total Hold Harmless Amount Not To Exceed</t>
  </si>
  <si>
    <t>Districts "Off Formula" for Pay Raise Increase</t>
  </si>
  <si>
    <t>Foreign Associate Teachers</t>
  </si>
  <si>
    <t>FOREIGN ASSOCIATE TEACHERS</t>
  </si>
  <si>
    <t>Number of Foreign Associate Teachers - - FY 1990-91</t>
  </si>
  <si>
    <t>Level 3 State Funding for Foreign Associate Teachers</t>
  </si>
  <si>
    <t>TOTAL LEVEL 3 UNEQUALIZED FUNDING/ REDUCTION</t>
  </si>
  <si>
    <t>TOTAL LEVEL 3</t>
  </si>
  <si>
    <t>Reduction of Funding Over Pay Raise</t>
  </si>
  <si>
    <t>Level 3 Legislative Enhancements/ Reductions</t>
  </si>
  <si>
    <t>LEVEL 1 &amp; 2 STATE INCREASES AND ADJUSTMENTS</t>
  </si>
  <si>
    <t>MINIMUM PAY RAISE SUPPLEMENT</t>
  </si>
  <si>
    <t>IDENTIFICATION OF FY 2001 TRSL ADJUSTMENT AND FY 2002 ADJUSTMENT FOR INCREASED STUDENTS</t>
  </si>
  <si>
    <t>REDUCTION</t>
  </si>
  <si>
    <t>Reduction for MFP Funding Over Pay Raise Requirements</t>
  </si>
  <si>
    <t>2001-2002    STATE SHARE OF COST (HOLD HARMLESS)</t>
  </si>
  <si>
    <t>2001 Budget Letter                                        Level 1 &amp; 2 without Adjustments, HH, and Foreign Assoc. Teachers</t>
  </si>
  <si>
    <t>2001-2002 MFP State Share of Levels 1, 2,  and 3</t>
  </si>
  <si>
    <t>St. John the Baptist</t>
  </si>
  <si>
    <t>ST. JOHN THE BAPTIST</t>
  </si>
  <si>
    <t>St. John the Baptist Parish</t>
  </si>
  <si>
    <t>Level 1 and 2 State Share (C1+E1)</t>
  </si>
  <si>
    <t>col 19 + col 12</t>
  </si>
  <si>
    <t>Table 3 col. 8</t>
  </si>
  <si>
    <t xml:space="preserve">Table 7 (state total col. 25 x col. 3 / 1000) </t>
  </si>
  <si>
    <t>Table 7 (total col. 27*col. 31)</t>
  </si>
  <si>
    <t xml:space="preserve">col. 6/col.1 </t>
  </si>
  <si>
    <t>col. 2 + col.4 + col.6</t>
  </si>
  <si>
    <t>col. 8/ col. 1</t>
  </si>
  <si>
    <t>col. 9 / total col. 9</t>
  </si>
  <si>
    <t>Table 7 (col. 26+ col. 30+ col. 34)</t>
  </si>
  <si>
    <t>col. 12/ col. 1</t>
  </si>
  <si>
    <t>col. 13 / col. 9</t>
  </si>
  <si>
    <t>Sorted highest to lowest on Local Effort Index</t>
  </si>
  <si>
    <t>Median</t>
  </si>
  <si>
    <t>Mean</t>
  </si>
  <si>
    <t>F.</t>
  </si>
  <si>
    <t>Total MFP Allocation (H+I)</t>
  </si>
  <si>
    <t>Total MFP Distribution (J+K)</t>
  </si>
  <si>
    <t>Table 3, col. 31</t>
  </si>
  <si>
    <t>cols. 1+2+3</t>
  </si>
  <si>
    <t>cols. 4-5</t>
  </si>
  <si>
    <t>Positve col. 9</t>
  </si>
  <si>
    <t>Negative col. 9</t>
  </si>
  <si>
    <t>Monthly Payments March  2002 - June 2002</t>
  </si>
  <si>
    <t xml:space="preserve"> Oct.1, 2001 Student Membership  (per SIS)</t>
  </si>
  <si>
    <t xml:space="preserve">Sales and Property Tax Revenues (Including Debt) Plus Other Revenue </t>
  </si>
  <si>
    <t>Table 7, col. 35</t>
  </si>
  <si>
    <t>FY 2001 Actual Average Teacher Pay</t>
  </si>
  <si>
    <t>(44a)</t>
  </si>
  <si>
    <t>col 2 X 17%</t>
  </si>
  <si>
    <t>col 3 X 9</t>
  </si>
  <si>
    <t>col 3a X 5%</t>
  </si>
  <si>
    <t>col 4a X 150%</t>
  </si>
  <si>
    <t>col 5 X  60%</t>
  </si>
  <si>
    <t>col. 13 x grand total of col. 10 x 35% &lt; col. 10, use, otherwise col. 10</t>
  </si>
  <si>
    <t>col. 10 - col. 14 &gt; 0, use, otherwise 0</t>
  </si>
  <si>
    <t>If col. 18-col. 14&gt;0, use, otherwise  0</t>
  </si>
  <si>
    <t>If col. 18-col. 14&lt;0, use, otherwise 0</t>
  </si>
  <si>
    <t>If (1-{ (1-.4) x col. 11}) x col. 22 &gt; 0, use, otherwise 0</t>
  </si>
  <si>
    <t>If ((1-{ (1-.4) x col. 11}) x col. 21) - col. 23 &gt; 0, use, otherwise 0</t>
  </si>
  <si>
    <t>cols. 23+16</t>
  </si>
  <si>
    <t>col. 27/ col. 1</t>
  </si>
  <si>
    <t>Table 4, col. 27</t>
  </si>
  <si>
    <t>col. 29 /col. 1</t>
  </si>
  <si>
    <t>Col. 27 + col. 29</t>
  </si>
  <si>
    <t>col.31 - Table 2, col. 8</t>
  </si>
  <si>
    <t>col. 32/ col. 1</t>
  </si>
  <si>
    <t>col. 31/ col. 41</t>
  </si>
  <si>
    <t>cols. 14+22</t>
  </si>
  <si>
    <t>col. 37/ col. 1</t>
  </si>
  <si>
    <t>col. 37/col.41</t>
  </si>
  <si>
    <t>cols. 31 + 37</t>
  </si>
  <si>
    <t>col.41 / col.1</t>
  </si>
  <si>
    <t>Table 3, col. 27</t>
  </si>
  <si>
    <t>col. 1 / table 3, col.1</t>
  </si>
  <si>
    <t>col. 1 - col. 6</t>
  </si>
  <si>
    <t>If col. 7 &gt;0, then col. 7 otherwise 0</t>
  </si>
  <si>
    <t>col. 8 / table 8, col. 20</t>
  </si>
  <si>
    <t>If col. 7 &lt; 0, then col. 7 othewise 0</t>
  </si>
  <si>
    <t>(col. 2 * Table 8, col. 22)*-1</t>
  </si>
  <si>
    <t>col. 8 + col. 12 + col. 13</t>
  </si>
  <si>
    <t>col. 14 / 1.131 / col. 15</t>
  </si>
  <si>
    <t>if col 16 &lt; $2060 then (2060-col 16)* col. 15*1.131,  0</t>
  </si>
  <si>
    <t>if col. 16 &gt; $2060, (col. 16 - 2060) * col. 15 * 1.131 * -1, otherwise 0</t>
  </si>
  <si>
    <t>-col. 5 / 16200</t>
  </si>
  <si>
    <t>col. 21 - col. 20</t>
  </si>
  <si>
    <t>cols. 17+19+23+26</t>
  </si>
  <si>
    <t>If col 24 * table 3 col. 1&gt;col. 25 then col. 25, otherwise col. 24 * table 3, col. 1</t>
  </si>
  <si>
    <t xml:space="preserve"> October 1, 2001 Membership</t>
  </si>
  <si>
    <t>Hardcoded</t>
  </si>
  <si>
    <t>Table 3, total of col.33</t>
  </si>
  <si>
    <t>col. 1 * col. 2</t>
  </si>
  <si>
    <t>Table 7, col. 34</t>
  </si>
  <si>
    <t>OCT. 1, 2001 WEIGHTED STUDENT MEMBERSHIP</t>
  </si>
  <si>
    <t xml:space="preserve">  2000  ASSESSED PROPERTY VALUE</t>
  </si>
  <si>
    <t>AFR-kpc 62220 col. 4</t>
  </si>
  <si>
    <t>col 26 + col 30+ col 34</t>
  </si>
  <si>
    <t>Table 8- Oct 1, 2001 MFP Student Membership</t>
  </si>
  <si>
    <t>sum of col. 1-18</t>
  </si>
  <si>
    <t>Oct. 2,</t>
  </si>
  <si>
    <t>Table 8, col.19</t>
  </si>
  <si>
    <t>TABLE 5 - FY 2001-2002 ALLOCATION FOR THE LAB. SCHOOLS</t>
  </si>
  <si>
    <t>col. 44a + $2,060</t>
  </si>
  <si>
    <t>Adjusted</t>
  </si>
  <si>
    <t>October 1, 2000 Certificated Staff &amp; Others</t>
  </si>
  <si>
    <t>2001 Bud Ltr, table 3, col. 6</t>
  </si>
  <si>
    <t>Total MFP Amount Distributed July 2001 through Feb 2002</t>
  </si>
  <si>
    <t>Per SCR 139</t>
  </si>
  <si>
    <t>2001-2002    Levels 1 and 2 STATE SHARE OF COST</t>
  </si>
  <si>
    <t xml:space="preserve">2001-2002         Level 3         STATE SHARE OF COST  </t>
  </si>
  <si>
    <t>(5a) Hidden</t>
  </si>
  <si>
    <t>Hardcode from ISIS</t>
  </si>
  <si>
    <t>Monthly $ * 8</t>
  </si>
  <si>
    <t>Monthly distribution per ISIS</t>
  </si>
  <si>
    <t>col. 6/4</t>
  </si>
  <si>
    <t xml:space="preserve">2000-2001 MFP Budget Letter                                        Total Distribution with Audit Adjustments and Less One-time Retirement Adjust. </t>
  </si>
  <si>
    <t>(6a)</t>
  </si>
  <si>
    <t>Lab Schools:</t>
  </si>
  <si>
    <t>Southern</t>
  </si>
  <si>
    <t>Subtotal</t>
  </si>
  <si>
    <t>Total</t>
  </si>
  <si>
    <t>Due School (+)</t>
  </si>
  <si>
    <r>
      <t>Adjustment of 2000-01 Per Pupil Amount</t>
    </r>
    <r>
      <rPr>
        <b/>
        <vertAlign val="superscript"/>
        <sz val="10"/>
        <color indexed="18"/>
        <rFont val="Arial"/>
        <family val="2"/>
      </rPr>
      <t>3</t>
    </r>
  </si>
  <si>
    <r>
      <t>1</t>
    </r>
    <r>
      <rPr>
        <sz val="9"/>
        <rFont val="Arial"/>
        <family val="2"/>
      </rPr>
      <t>Students in the Lab schools are funded per the Minimum Foundation Program definition as approved by the State Board of Elementary and</t>
    </r>
  </si>
  <si>
    <t>Secondary Education (SBESE) and SCR 139.</t>
  </si>
  <si>
    <t>Total Allocation with Adjustments</t>
  </si>
  <si>
    <t>Total Allocation for the Four Remaining Months</t>
  </si>
  <si>
    <t>Monthly Payments for March through June 2002</t>
  </si>
  <si>
    <t>Amount Allocated July 2001 through February 2002</t>
  </si>
  <si>
    <t>(7a) Hidden</t>
  </si>
  <si>
    <t>Amount Allocated per month July - Feb</t>
  </si>
  <si>
    <t>Must Equal</t>
  </si>
  <si>
    <t>Increased MFP Funding Per Certificated Staff Person</t>
  </si>
  <si>
    <t xml:space="preserve">Per SCR 139  </t>
  </si>
  <si>
    <t xml:space="preserve">Hold Harmless Per Pupil Amount </t>
  </si>
  <si>
    <t>La. Tax comm.  Tables 41 &amp;43</t>
  </si>
  <si>
    <t>link to backup file</t>
  </si>
  <si>
    <r>
      <t xml:space="preserve">2  </t>
    </r>
    <r>
      <rPr>
        <sz val="9"/>
        <rFont val="Arial"/>
        <family val="2"/>
      </rPr>
      <t>Use per pupil amount in 2000-01 Budget Letter, Table 3, col 4.</t>
    </r>
  </si>
  <si>
    <t>Informational Only</t>
  </si>
  <si>
    <t>Hardcode</t>
  </si>
  <si>
    <t>Level 2 Funding Calculation</t>
  </si>
  <si>
    <t>TOTAL STATE AND LOCAL COST of Levels 1 and 2</t>
  </si>
  <si>
    <t>Total Adjustments</t>
  </si>
  <si>
    <t>Number of Foreign Associate Teachers - - FY 2001-02</t>
  </si>
  <si>
    <t>This is linked</t>
  </si>
  <si>
    <t>to Table 1, P44</t>
  </si>
  <si>
    <t xml:space="preserve"> 2000-01 ADJUSTED Budget Letter [Comparisons]</t>
  </si>
  <si>
    <r>
      <t xml:space="preserve">3 </t>
    </r>
    <r>
      <rPr>
        <sz val="9"/>
        <rFont val="Arial"/>
        <family val="2"/>
      </rPr>
      <t xml:space="preserve">Uses difference between dollar per pupil funded in 2000-01 BL ($3,110)and </t>
    </r>
    <r>
      <rPr>
        <i/>
        <sz val="9"/>
        <rFont val="Arial"/>
        <family val="2"/>
      </rPr>
      <t>Adjusted</t>
    </r>
    <r>
      <rPr>
        <sz val="9"/>
        <rFont val="Arial"/>
        <family val="2"/>
      </rPr>
      <t xml:space="preserve"> 2000-01 Budget Letter, Table 3, col 4.  </t>
    </r>
  </si>
  <si>
    <t>Student Membership Change Based on Audits:</t>
  </si>
  <si>
    <t>LSU Lab School</t>
  </si>
  <si>
    <t>Southern Lab School</t>
  </si>
  <si>
    <t>Original</t>
  </si>
  <si>
    <t>Membership</t>
  </si>
  <si>
    <t>Audited</t>
  </si>
  <si>
    <t>Difference</t>
  </si>
  <si>
    <t>Oct 1, 2000</t>
  </si>
  <si>
    <t>Dollar Adjustment X Adjusted membership</t>
  </si>
  <si>
    <t>99-00 BL Audit Letter Changes:</t>
  </si>
  <si>
    <t>Table is linked to file in "Back Up Documentation" directory of the "Budget Letter" Directory</t>
  </si>
  <si>
    <t>cols. 4-8</t>
  </si>
  <si>
    <t xml:space="preserve">     These are</t>
  </si>
  <si>
    <t xml:space="preserve">     added into</t>
  </si>
  <si>
    <t xml:space="preserve">     the 2000-01</t>
  </si>
  <si>
    <t xml:space="preserve">     audit changes</t>
  </si>
  <si>
    <t>Per Pupil based on October 1 Membership</t>
  </si>
  <si>
    <t>TABLE 6 - CALCULATION OF LOCAL WEALTH FACTOR (LWF) AND THE EFFORT INDEX - FY 01-02</t>
  </si>
  <si>
    <t>(col. 26 / col. 3) * 1000</t>
  </si>
  <si>
    <t>AFR kpcs 1210, 1220, 8231, 8232, 8233, 8240, 14200, 14300, 14400</t>
  </si>
  <si>
    <t>Funding in base for Foreign Language Associates</t>
  </si>
  <si>
    <t>Circular # 1063                  2000-2001                         MFP Budget Letter</t>
  </si>
  <si>
    <r>
      <t xml:space="preserve">MFP State Average Per Pupil </t>
    </r>
    <r>
      <rPr>
        <b/>
        <i/>
        <sz val="10"/>
        <color indexed="18"/>
        <rFont val="Arial"/>
        <family val="2"/>
      </rPr>
      <t>2001-02</t>
    </r>
  </si>
  <si>
    <t>Student Audit Adjustments</t>
  </si>
  <si>
    <r>
      <t xml:space="preserve">Change </t>
    </r>
    <r>
      <rPr>
        <b/>
        <sz val="8"/>
        <rFont val="Arial"/>
        <family val="2"/>
      </rPr>
      <t>(Reductions)</t>
    </r>
  </si>
  <si>
    <r>
      <t xml:space="preserve">Change </t>
    </r>
    <r>
      <rPr>
        <b/>
        <sz val="8"/>
        <rFont val="Arial"/>
        <family val="2"/>
      </rPr>
      <t>(Increases)</t>
    </r>
  </si>
  <si>
    <t>Circular # 1066                  2001-2002                         MFP Budget Letter</t>
  </si>
  <si>
    <t>Comparison of</t>
  </si>
  <si>
    <t>2001-2002</t>
  </si>
  <si>
    <t>Budget Letter</t>
  </si>
  <si>
    <t xml:space="preserve">2000-2001  to </t>
  </si>
  <si>
    <t>R.S. 17:350.21 Lab School Funding</t>
  </si>
  <si>
    <t>Note: Based upon 1-Oct-01 reported SIS enrollment excluding:  Pre-Kindergarten (Grade 24); students reaching age 22 before the first day of class; and students at excluded site codes (e.g.,  LSU &amp; Southern University Lab schools and Type 2 Charter Schools).</t>
  </si>
  <si>
    <t>Note: Based upon 1-Oct-01 reported SIS enrollment, excluding:  Pre-Kindergarten (Grade 24); Students reaching age 22 before the First Day of Class; and Students at excluded Site Codes (e.g.,  LSU &amp; Southern University Lab schools and Type  2 Charter Schools).</t>
  </si>
  <si>
    <t>State Total</t>
  </si>
  <si>
    <t>PROJECTED 2001-2002 AVERAGE TEACHER SALARY WITH PAY RAISE</t>
  </si>
  <si>
    <t>Student Audit Adjustment X 2000-01</t>
  </si>
  <si>
    <t>col. 7/4</t>
  </si>
  <si>
    <t>$15,434 * col. 21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</si>
</sst>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0.0%"/>
    <numFmt numFmtId="174" formatCode="#,##0.0"/>
    <numFmt numFmtId="175" formatCode="&quot;$&quot;#,##0.0_);[Red]\(&quot;$&quot;#,##0.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_);_(* \(#,##0.000000\);_(* &quot;-&quot;??????_);_(@_)"/>
    <numFmt numFmtId="183" formatCode="#,##0.000"/>
    <numFmt numFmtId="184" formatCode="#,##0.0000"/>
    <numFmt numFmtId="185" formatCode="#,##0.00000"/>
    <numFmt numFmtId="186" formatCode="#,##0.000000"/>
    <numFmt numFmtId="187" formatCode="&quot;$&quot;#,##0.0"/>
    <numFmt numFmtId="188" formatCode="&quot;$&quot;#,##0.00"/>
    <numFmt numFmtId="189" formatCode="dd\-mmm\-yy_)"/>
    <numFmt numFmtId="190" formatCode="&quot;$&quot;#,##0.0_);\(&quot;$&quot;#,##0.0\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0;[Red]#,##0.00"/>
    <numFmt numFmtId="194" formatCode="&quot;$&quot;#,##0.00;[Red]&quot;$&quot;#,##0.00"/>
    <numFmt numFmtId="195" formatCode="&quot;$&quot;#,##0.0;[Red]&quot;$&quot;#,##0.0"/>
    <numFmt numFmtId="196" formatCode="&quot;$&quot;#,##0;[Red]&quot;$&quot;#,##0"/>
    <numFmt numFmtId="197" formatCode="0.000%"/>
    <numFmt numFmtId="198" formatCode="#,##0.0_);\(#,##0.0\)"/>
    <numFmt numFmtId="199" formatCode="&quot;$&quot;#,##0.000_);\(&quot;$&quot;#,##0.000\)"/>
    <numFmt numFmtId="200" formatCode="&quot;$&quot;#,##0.000_);[Red]\(&quot;$&quot;#,##0.000\)"/>
    <numFmt numFmtId="201" formatCode="dd\-mmm\-yy"/>
    <numFmt numFmtId="202" formatCode="_(* #,##0.0_);_(* \(#,##0.0\);_(* &quot;-&quot;?_);_(@_)"/>
    <numFmt numFmtId="203" formatCode="0.0000%"/>
    <numFmt numFmtId="204" formatCode="0.00000%"/>
    <numFmt numFmtId="205" formatCode="0.000000%"/>
    <numFmt numFmtId="206" formatCode="&quot;$&quot;#,##0.0000_);\(&quot;$&quot;#,##0.0000\)"/>
    <numFmt numFmtId="207" formatCode="&quot;$&quot;#,##0.000"/>
    <numFmt numFmtId="208" formatCode="&quot;$&quot;#,##0.0000"/>
    <numFmt numFmtId="209" formatCode="#,##0.0000000"/>
    <numFmt numFmtId="210" formatCode="#,##0.00000000"/>
    <numFmt numFmtId="211" formatCode="#,##0.000000000"/>
  </numFmts>
  <fonts count="63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8"/>
      <color indexed="12"/>
      <name val="Impact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20"/>
      <color indexed="20"/>
      <name val="Arial Narrow"/>
      <family val="2"/>
    </font>
    <font>
      <b/>
      <sz val="12"/>
      <color indexed="62"/>
      <name val="Arial Narrow"/>
      <family val="2"/>
    </font>
    <font>
      <sz val="12"/>
      <color indexed="62"/>
      <name val="Arial Narrow"/>
      <family val="2"/>
    </font>
    <font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0"/>
    </font>
    <font>
      <b/>
      <i/>
      <sz val="10"/>
      <color indexed="18"/>
      <name val="Arial Narrow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b/>
      <i/>
      <sz val="18"/>
      <color indexed="20"/>
      <name val="Arial Narrow"/>
      <family val="2"/>
    </font>
    <font>
      <b/>
      <i/>
      <sz val="10"/>
      <name val="Arial"/>
      <family val="2"/>
    </font>
    <font>
      <b/>
      <sz val="16"/>
      <color indexed="20"/>
      <name val="Arial Narrow"/>
      <family val="2"/>
    </font>
    <font>
      <sz val="10"/>
      <color indexed="20"/>
      <name val="Arial Narrow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0"/>
      <color indexed="18"/>
      <name val="Arial"/>
      <family val="2"/>
    </font>
    <font>
      <vertAlign val="superscript"/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2"/>
      <color indexed="12"/>
      <name val="CG Omega (PCL6)"/>
      <family val="2"/>
    </font>
    <font>
      <b/>
      <i/>
      <sz val="10"/>
      <color indexed="12"/>
      <name val="Arial"/>
      <family val="2"/>
    </font>
    <font>
      <b/>
      <i/>
      <sz val="2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4"/>
      <color indexed="18"/>
      <name val="Arial"/>
      <family val="2"/>
    </font>
    <font>
      <sz val="9"/>
      <name val="Arial Narrow"/>
      <family val="2"/>
    </font>
    <font>
      <sz val="9"/>
      <name val="Arial"/>
      <family val="0"/>
    </font>
    <font>
      <sz val="9"/>
      <color indexed="8"/>
      <name val="Arial Narrow"/>
      <family val="2"/>
    </font>
    <font>
      <sz val="10"/>
      <name val="CG Times"/>
      <family val="1"/>
    </font>
    <font>
      <b/>
      <u val="single"/>
      <sz val="10"/>
      <name val="Arial"/>
      <family val="2"/>
    </font>
    <font>
      <b/>
      <vertAlign val="superscript"/>
      <sz val="10"/>
      <color indexed="1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MT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color indexed="18"/>
      <name val="Arial Narrow"/>
      <family val="2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sz val="11"/>
      <color indexed="18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3">
    <border>
      <left/>
      <right/>
      <top/>
      <bottom/>
      <diagonal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double"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66" fontId="0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5" fontId="0" fillId="0" borderId="1" xfId="0" applyNumberFormat="1" applyFont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5" fontId="4" fillId="2" borderId="2" xfId="0" applyNumberFormat="1" applyFont="1" applyFill="1" applyBorder="1" applyAlignment="1" applyProtection="1">
      <alignment/>
      <protection/>
    </xf>
    <xf numFmtId="5" fontId="0" fillId="0" borderId="3" xfId="0" applyNumberFormat="1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5" fontId="5" fillId="0" borderId="1" xfId="0" applyNumberFormat="1" applyFont="1" applyFill="1" applyBorder="1" applyAlignment="1" applyProtection="1">
      <alignment/>
      <protection locked="0"/>
    </xf>
    <xf numFmtId="5" fontId="0" fillId="0" borderId="1" xfId="0" applyNumberFormat="1" applyFont="1" applyFill="1" applyBorder="1" applyAlignment="1" applyProtection="1">
      <alignment/>
      <protection/>
    </xf>
    <xf numFmtId="5" fontId="4" fillId="0" borderId="1" xfId="0" applyNumberFormat="1" applyFont="1" applyFill="1" applyBorder="1" applyAlignment="1" applyProtection="1">
      <alignment/>
      <protection/>
    </xf>
    <xf numFmtId="5" fontId="4" fillId="0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6" fontId="0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71" fontId="0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3" fontId="0" fillId="0" borderId="5" xfId="15" applyNumberFormat="1" applyFont="1" applyBorder="1" applyAlignment="1">
      <alignment/>
    </xf>
    <xf numFmtId="179" fontId="0" fillId="0" borderId="5" xfId="15" applyNumberFormat="1" applyFont="1" applyBorder="1" applyAlignment="1">
      <alignment/>
    </xf>
    <xf numFmtId="186" fontId="0" fillId="0" borderId="5" xfId="0" applyNumberFormat="1" applyFont="1" applyBorder="1" applyAlignment="1">
      <alignment/>
    </xf>
    <xf numFmtId="10" fontId="0" fillId="0" borderId="5" xfId="21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6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179" fontId="4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172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79" fontId="0" fillId="0" borderId="7" xfId="15" applyNumberFormat="1" applyFont="1" applyBorder="1" applyAlignment="1">
      <alignment/>
    </xf>
    <xf numFmtId="186" fontId="0" fillId="0" borderId="7" xfId="0" applyNumberFormat="1" applyFont="1" applyBorder="1" applyAlignment="1">
      <alignment/>
    </xf>
    <xf numFmtId="10" fontId="0" fillId="0" borderId="7" xfId="21" applyNumberFormat="1" applyFont="1" applyBorder="1" applyAlignment="1">
      <alignment/>
    </xf>
    <xf numFmtId="167" fontId="4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79" fontId="4" fillId="0" borderId="7" xfId="15" applyNumberFormat="1" applyFont="1" applyBorder="1" applyAlignment="1">
      <alignment/>
    </xf>
    <xf numFmtId="0" fontId="3" fillId="0" borderId="0" xfId="0" applyFont="1" applyAlignment="1">
      <alignment/>
    </xf>
    <xf numFmtId="6" fontId="0" fillId="0" borderId="5" xfId="0" applyNumberFormat="1" applyBorder="1" applyAlignment="1">
      <alignment/>
    </xf>
    <xf numFmtId="5" fontId="0" fillId="0" borderId="0" xfId="0" applyNumberFormat="1" applyFont="1" applyAlignment="1">
      <alignment/>
    </xf>
    <xf numFmtId="2" fontId="0" fillId="0" borderId="5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6" fontId="0" fillId="0" borderId="7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/>
    </xf>
    <xf numFmtId="173" fontId="10" fillId="0" borderId="22" xfId="0" applyNumberFormat="1" applyFont="1" applyFill="1" applyBorder="1" applyAlignment="1" applyProtection="1">
      <alignment/>
      <protection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5" fontId="10" fillId="0" borderId="27" xfId="0" applyNumberFormat="1" applyFont="1" applyFill="1" applyBorder="1" applyAlignment="1" applyProtection="1">
      <alignment/>
      <protection/>
    </xf>
    <xf numFmtId="173" fontId="10" fillId="0" borderId="27" xfId="0" applyNumberFormat="1" applyFont="1" applyFill="1" applyBorder="1" applyAlignment="1" applyProtection="1">
      <alignment/>
      <protection/>
    </xf>
    <xf numFmtId="173" fontId="10" fillId="0" borderId="28" xfId="0" applyNumberFormat="1" applyFont="1" applyFill="1" applyBorder="1" applyAlignment="1" applyProtection="1">
      <alignment/>
      <protection/>
    </xf>
    <xf numFmtId="5" fontId="10" fillId="0" borderId="28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/>
    </xf>
    <xf numFmtId="5" fontId="10" fillId="0" borderId="30" xfId="0" applyNumberFormat="1" applyFont="1" applyFill="1" applyBorder="1" applyAlignment="1" applyProtection="1">
      <alignment/>
      <protection/>
    </xf>
    <xf numFmtId="0" fontId="8" fillId="0" borderId="31" xfId="0" applyFont="1" applyFill="1" applyBorder="1" applyAlignment="1">
      <alignment horizontal="center"/>
    </xf>
    <xf numFmtId="37" fontId="10" fillId="0" borderId="32" xfId="0" applyNumberFormat="1" applyFont="1" applyFill="1" applyBorder="1" applyAlignment="1" applyProtection="1">
      <alignment/>
      <protection/>
    </xf>
    <xf numFmtId="173" fontId="10" fillId="0" borderId="32" xfId="0" applyNumberFormat="1" applyFont="1" applyFill="1" applyBorder="1" applyAlignment="1" applyProtection="1">
      <alignment/>
      <protection/>
    </xf>
    <xf numFmtId="37" fontId="8" fillId="0" borderId="27" xfId="0" applyNumberFormat="1" applyFont="1" applyFill="1" applyBorder="1" applyAlignment="1" applyProtection="1">
      <alignment/>
      <protection/>
    </xf>
    <xf numFmtId="173" fontId="8" fillId="0" borderId="28" xfId="0" applyNumberFormat="1" applyFont="1" applyFill="1" applyBorder="1" applyAlignment="1" applyProtection="1">
      <alignment/>
      <protection/>
    </xf>
    <xf numFmtId="37" fontId="8" fillId="0" borderId="33" xfId="0" applyNumberFormat="1" applyFont="1" applyFill="1" applyBorder="1" applyAlignment="1" applyProtection="1">
      <alignment/>
      <protection/>
    </xf>
    <xf numFmtId="5" fontId="8" fillId="0" borderId="30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>
      <alignment horizontal="center"/>
    </xf>
    <xf numFmtId="37" fontId="10" fillId="0" borderId="22" xfId="0" applyNumberFormat="1" applyFont="1" applyFill="1" applyBorder="1" applyAlignment="1" applyProtection="1">
      <alignment horizontal="right"/>
      <protection/>
    </xf>
    <xf numFmtId="173" fontId="10" fillId="0" borderId="22" xfId="0" applyNumberFormat="1" applyFont="1" applyFill="1" applyBorder="1" applyAlignment="1" applyProtection="1">
      <alignment horizontal="right"/>
      <protection/>
    </xf>
    <xf numFmtId="37" fontId="8" fillId="0" borderId="22" xfId="0" applyNumberFormat="1" applyFont="1" applyFill="1" applyBorder="1" applyAlignment="1" applyProtection="1">
      <alignment horizontal="right"/>
      <protection/>
    </xf>
    <xf numFmtId="173" fontId="8" fillId="0" borderId="23" xfId="0" applyNumberFormat="1" applyFont="1" applyFill="1" applyBorder="1" applyAlignment="1" applyProtection="1">
      <alignment horizontal="right"/>
      <protection/>
    </xf>
    <xf numFmtId="37" fontId="8" fillId="0" borderId="23" xfId="0" applyNumberFormat="1" applyFont="1" applyFill="1" applyBorder="1" applyAlignment="1" applyProtection="1">
      <alignment/>
      <protection/>
    </xf>
    <xf numFmtId="5" fontId="8" fillId="0" borderId="14" xfId="0" applyNumberFormat="1" applyFont="1" applyFill="1" applyBorder="1" applyAlignment="1" applyProtection="1">
      <alignment/>
      <protection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10" fontId="10" fillId="0" borderId="27" xfId="0" applyNumberFormat="1" applyFont="1" applyFill="1" applyBorder="1" applyAlignment="1" applyProtection="1">
      <alignment/>
      <protection/>
    </xf>
    <xf numFmtId="39" fontId="10" fillId="0" borderId="27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5" fontId="8" fillId="0" borderId="18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right"/>
    </xf>
    <xf numFmtId="7" fontId="3" fillId="0" borderId="0" xfId="17" applyNumberFormat="1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9" fontId="3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4" fillId="0" borderId="34" xfId="0" applyFont="1" applyBorder="1" applyAlignment="1" applyProtection="1">
      <alignment horizontal="center" wrapText="1"/>
      <protection locked="0"/>
    </xf>
    <xf numFmtId="9" fontId="17" fillId="0" borderId="5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5" fontId="4" fillId="0" borderId="35" xfId="0" applyNumberFormat="1" applyFont="1" applyFill="1" applyBorder="1" applyAlignment="1" applyProtection="1">
      <alignment/>
      <protection/>
    </xf>
    <xf numFmtId="166" fontId="0" fillId="0" borderId="1" xfId="15" applyNumberFormat="1" applyFont="1" applyBorder="1" applyAlignment="1" applyProtection="1">
      <alignment/>
      <protection/>
    </xf>
    <xf numFmtId="166" fontId="0" fillId="0" borderId="3" xfId="15" applyNumberFormat="1" applyFont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/>
      <protection/>
    </xf>
    <xf numFmtId="166" fontId="4" fillId="2" borderId="2" xfId="15" applyNumberFormat="1" applyFont="1" applyFill="1" applyBorder="1" applyAlignment="1" applyProtection="1">
      <alignment/>
      <protection/>
    </xf>
    <xf numFmtId="9" fontId="0" fillId="0" borderId="1" xfId="21" applyFont="1" applyBorder="1" applyAlignment="1" applyProtection="1">
      <alignment/>
      <protection/>
    </xf>
    <xf numFmtId="9" fontId="0" fillId="0" borderId="3" xfId="21" applyFont="1" applyBorder="1" applyAlignment="1" applyProtection="1">
      <alignment/>
      <protection/>
    </xf>
    <xf numFmtId="9" fontId="0" fillId="0" borderId="1" xfId="21" applyFont="1" applyFill="1" applyBorder="1" applyAlignment="1" applyProtection="1">
      <alignment/>
      <protection/>
    </xf>
    <xf numFmtId="9" fontId="4" fillId="2" borderId="2" xfId="21" applyFont="1" applyFill="1" applyBorder="1" applyAlignment="1" applyProtection="1">
      <alignment/>
      <protection/>
    </xf>
    <xf numFmtId="5" fontId="4" fillId="2" borderId="0" xfId="0" applyNumberFormat="1" applyFont="1" applyFill="1" applyBorder="1" applyAlignment="1" applyProtection="1">
      <alignment/>
      <protection/>
    </xf>
    <xf numFmtId="5" fontId="0" fillId="0" borderId="36" xfId="0" applyNumberFormat="1" applyFont="1" applyBorder="1" applyAlignment="1" applyProtection="1">
      <alignment/>
      <protection/>
    </xf>
    <xf numFmtId="5" fontId="0" fillId="0" borderId="37" xfId="0" applyNumberFormat="1" applyFont="1" applyBorder="1" applyAlignment="1" applyProtection="1">
      <alignment/>
      <protection/>
    </xf>
    <xf numFmtId="5" fontId="0" fillId="0" borderId="36" xfId="0" applyNumberFormat="1" applyFont="1" applyFill="1" applyBorder="1" applyAlignment="1" applyProtection="1">
      <alignment/>
      <protection/>
    </xf>
    <xf numFmtId="5" fontId="4" fillId="2" borderId="38" xfId="0" applyNumberFormat="1" applyFont="1" applyFill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>
      <alignment horizontal="center" vertical="center" wrapText="1"/>
    </xf>
    <xf numFmtId="167" fontId="4" fillId="0" borderId="3" xfId="17" applyNumberFormat="1" applyFont="1" applyFill="1" applyBorder="1" applyAlignment="1" applyProtection="1">
      <alignment horizontal="center"/>
      <protection/>
    </xf>
    <xf numFmtId="167" fontId="4" fillId="0" borderId="37" xfId="17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5" fontId="4" fillId="3" borderId="0" xfId="0" applyNumberFormat="1" applyFont="1" applyFill="1" applyBorder="1" applyAlignment="1" applyProtection="1">
      <alignment/>
      <protection/>
    </xf>
    <xf numFmtId="9" fontId="4" fillId="2" borderId="0" xfId="21" applyFont="1" applyFill="1" applyBorder="1" applyAlignment="1" applyProtection="1">
      <alignment/>
      <protection/>
    </xf>
    <xf numFmtId="166" fontId="4" fillId="2" borderId="0" xfId="15" applyNumberFormat="1" applyFont="1" applyFill="1" applyBorder="1" applyAlignment="1" applyProtection="1">
      <alignment/>
      <protection/>
    </xf>
    <xf numFmtId="5" fontId="19" fillId="0" borderId="27" xfId="0" applyNumberFormat="1" applyFont="1" applyFill="1" applyBorder="1" applyAlignment="1" applyProtection="1">
      <alignment/>
      <protection/>
    </xf>
    <xf numFmtId="173" fontId="19" fillId="0" borderId="27" xfId="0" applyNumberFormat="1" applyFont="1" applyFill="1" applyBorder="1" applyAlignment="1" applyProtection="1">
      <alignment/>
      <protection/>
    </xf>
    <xf numFmtId="173" fontId="19" fillId="0" borderId="28" xfId="0" applyNumberFormat="1" applyFont="1" applyFill="1" applyBorder="1" applyAlignment="1" applyProtection="1">
      <alignment/>
      <protection/>
    </xf>
    <xf numFmtId="5" fontId="19" fillId="0" borderId="28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173" fontId="20" fillId="0" borderId="41" xfId="0" applyNumberFormat="1" applyFont="1" applyFill="1" applyBorder="1" applyAlignment="1" applyProtection="1">
      <alignment/>
      <protection/>
    </xf>
    <xf numFmtId="173" fontId="20" fillId="0" borderId="0" xfId="0" applyNumberFormat="1" applyFont="1" applyFill="1" applyAlignment="1" applyProtection="1">
      <alignment/>
      <protection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6" xfId="0" applyFont="1" applyFill="1" applyBorder="1" applyAlignment="1">
      <alignment horizontal="left"/>
    </xf>
    <xf numFmtId="5" fontId="19" fillId="0" borderId="42" xfId="0" applyNumberFormat="1" applyFont="1" applyFill="1" applyBorder="1" applyAlignment="1" applyProtection="1">
      <alignment/>
      <protection/>
    </xf>
    <xf numFmtId="173" fontId="19" fillId="0" borderId="42" xfId="0" applyNumberFormat="1" applyFont="1" applyFill="1" applyBorder="1" applyAlignment="1" applyProtection="1">
      <alignment/>
      <protection/>
    </xf>
    <xf numFmtId="173" fontId="19" fillId="0" borderId="17" xfId="0" applyNumberFormat="1" applyFont="1" applyFill="1" applyBorder="1" applyAlignment="1" applyProtection="1">
      <alignment/>
      <protection/>
    </xf>
    <xf numFmtId="5" fontId="19" fillId="0" borderId="17" xfId="0" applyNumberFormat="1" applyFont="1" applyFill="1" applyBorder="1" applyAlignment="1" applyProtection="1">
      <alignment/>
      <protection/>
    </xf>
    <xf numFmtId="9" fontId="23" fillId="4" borderId="43" xfId="0" applyNumberFormat="1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173" fontId="24" fillId="0" borderId="45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173" fontId="24" fillId="0" borderId="40" xfId="0" applyNumberFormat="1" applyFont="1" applyFill="1" applyBorder="1" applyAlignment="1" applyProtection="1">
      <alignment horizontal="center"/>
      <protection/>
    </xf>
    <xf numFmtId="0" fontId="24" fillId="0" borderId="46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173" fontId="24" fillId="0" borderId="42" xfId="0" applyNumberFormat="1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8" fillId="0" borderId="6" xfId="0" applyFont="1" applyBorder="1" applyAlignment="1">
      <alignment/>
    </xf>
    <xf numFmtId="5" fontId="28" fillId="0" borderId="6" xfId="17" applyNumberFormat="1" applyFont="1" applyBorder="1" applyAlignment="1">
      <alignment/>
    </xf>
    <xf numFmtId="6" fontId="28" fillId="0" borderId="6" xfId="0" applyNumberFormat="1" applyFont="1" applyBorder="1" applyAlignment="1">
      <alignment/>
    </xf>
    <xf numFmtId="0" fontId="28" fillId="2" borderId="2" xfId="0" applyFont="1" applyFill="1" applyBorder="1" applyAlignment="1" applyProtection="1">
      <alignment horizontal="center"/>
      <protection/>
    </xf>
    <xf numFmtId="5" fontId="28" fillId="3" borderId="2" xfId="0" applyNumberFormat="1" applyFont="1" applyFill="1" applyBorder="1" applyAlignment="1" applyProtection="1">
      <alignment/>
      <protection/>
    </xf>
    <xf numFmtId="5" fontId="28" fillId="2" borderId="2" xfId="0" applyNumberFormat="1" applyFont="1" applyFill="1" applyBorder="1" applyAlignment="1" applyProtection="1">
      <alignment/>
      <protection/>
    </xf>
    <xf numFmtId="9" fontId="23" fillId="4" borderId="43" xfId="21" applyFont="1" applyFill="1" applyBorder="1" applyAlignment="1">
      <alignment horizontal="right"/>
    </xf>
    <xf numFmtId="0" fontId="32" fillId="0" borderId="4" xfId="0" applyFont="1" applyBorder="1" applyAlignment="1">
      <alignment horizontal="center"/>
    </xf>
    <xf numFmtId="9" fontId="23" fillId="4" borderId="43" xfId="0" applyNumberFormat="1" applyFont="1" applyFill="1" applyBorder="1" applyAlignment="1">
      <alignment horizontal="right"/>
    </xf>
    <xf numFmtId="3" fontId="28" fillId="0" borderId="6" xfId="0" applyNumberFormat="1" applyFont="1" applyBorder="1" applyAlignment="1">
      <alignment/>
    </xf>
    <xf numFmtId="171" fontId="28" fillId="0" borderId="6" xfId="0" applyNumberFormat="1" applyFont="1" applyBorder="1" applyAlignment="1">
      <alignment/>
    </xf>
    <xf numFmtId="10" fontId="28" fillId="0" borderId="6" xfId="0" applyNumberFormat="1" applyFont="1" applyBorder="1" applyAlignment="1">
      <alignment/>
    </xf>
    <xf numFmtId="10" fontId="28" fillId="0" borderId="6" xfId="21" applyNumberFormat="1" applyFont="1" applyBorder="1" applyAlignment="1">
      <alignment/>
    </xf>
    <xf numFmtId="0" fontId="27" fillId="0" borderId="0" xfId="0" applyFont="1" applyAlignment="1">
      <alignment horizontal="left"/>
    </xf>
    <xf numFmtId="9" fontId="23" fillId="4" borderId="4" xfId="0" applyNumberFormat="1" applyFont="1" applyFill="1" applyBorder="1" applyAlignment="1">
      <alignment horizontal="center"/>
    </xf>
    <xf numFmtId="8" fontId="28" fillId="0" borderId="6" xfId="0" applyNumberFormat="1" applyFont="1" applyBorder="1" applyAlignment="1">
      <alignment/>
    </xf>
    <xf numFmtId="0" fontId="27" fillId="0" borderId="0" xfId="0" applyFont="1" applyAlignment="1">
      <alignment/>
    </xf>
    <xf numFmtId="0" fontId="0" fillId="0" borderId="8" xfId="0" applyBorder="1" applyAlignment="1">
      <alignment/>
    </xf>
    <xf numFmtId="179" fontId="28" fillId="0" borderId="6" xfId="15" applyNumberFormat="1" applyFont="1" applyBorder="1" applyAlignment="1">
      <alignment/>
    </xf>
    <xf numFmtId="37" fontId="28" fillId="0" borderId="6" xfId="17" applyNumberFormat="1" applyFont="1" applyBorder="1" applyAlignment="1">
      <alignment/>
    </xf>
    <xf numFmtId="43" fontId="28" fillId="0" borderId="6" xfId="15" applyFont="1" applyBorder="1" applyAlignment="1">
      <alignment/>
    </xf>
    <xf numFmtId="6" fontId="0" fillId="0" borderId="1" xfId="0" applyNumberFormat="1" applyFont="1" applyFill="1" applyBorder="1" applyAlignment="1" applyProtection="1">
      <alignment/>
      <protection/>
    </xf>
    <xf numFmtId="0" fontId="25" fillId="5" borderId="43" xfId="0" applyFont="1" applyFill="1" applyBorder="1" applyAlignment="1">
      <alignment horizontal="center" wrapText="1"/>
    </xf>
    <xf numFmtId="0" fontId="21" fillId="5" borderId="43" xfId="0" applyFont="1" applyFill="1" applyBorder="1" applyAlignment="1">
      <alignment horizontal="center" wrapText="1"/>
    </xf>
    <xf numFmtId="0" fontId="33" fillId="5" borderId="43" xfId="0" applyFont="1" applyFill="1" applyBorder="1" applyAlignment="1">
      <alignment horizontal="center" wrapText="1"/>
    </xf>
    <xf numFmtId="38" fontId="10" fillId="0" borderId="27" xfId="0" applyNumberFormat="1" applyFont="1" applyFill="1" applyBorder="1" applyAlignment="1" applyProtection="1">
      <alignment/>
      <protection/>
    </xf>
    <xf numFmtId="38" fontId="10" fillId="0" borderId="22" xfId="0" applyNumberFormat="1" applyFont="1" applyFill="1" applyBorder="1" applyAlignment="1" applyProtection="1">
      <alignment/>
      <protection/>
    </xf>
    <xf numFmtId="166" fontId="22" fillId="6" borderId="43" xfId="15" applyNumberFormat="1" applyFont="1" applyFill="1" applyBorder="1" applyAlignment="1" quotePrefix="1">
      <alignment horizontal="center"/>
    </xf>
    <xf numFmtId="166" fontId="22" fillId="6" borderId="43" xfId="15" applyNumberFormat="1" applyFont="1" applyFill="1" applyBorder="1" applyAlignment="1" quotePrefix="1">
      <alignment/>
    </xf>
    <xf numFmtId="0" fontId="34" fillId="0" borderId="4" xfId="0" applyFont="1" applyBorder="1" applyAlignment="1">
      <alignment/>
    </xf>
    <xf numFmtId="0" fontId="28" fillId="5" borderId="4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8" fillId="5" borderId="47" xfId="0" applyFont="1" applyFill="1" applyBorder="1" applyAlignment="1" applyProtection="1">
      <alignment horizontal="centerContinuous"/>
      <protection locked="0"/>
    </xf>
    <xf numFmtId="0" fontId="28" fillId="5" borderId="47" xfId="0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6" fontId="0" fillId="0" borderId="5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4" fillId="0" borderId="50" xfId="0" applyFont="1" applyBorder="1" applyAlignment="1">
      <alignment/>
    </xf>
    <xf numFmtId="166" fontId="4" fillId="0" borderId="6" xfId="15" applyNumberFormat="1" applyFont="1" applyBorder="1" applyAlignment="1">
      <alignment/>
    </xf>
    <xf numFmtId="0" fontId="0" fillId="0" borderId="51" xfId="0" applyBorder="1" applyAlignment="1">
      <alignment horizontal="justify"/>
    </xf>
    <xf numFmtId="0" fontId="38" fillId="0" borderId="0" xfId="0" applyFont="1" applyBorder="1" applyAlignment="1">
      <alignment horizontal="center" vertical="center"/>
    </xf>
    <xf numFmtId="6" fontId="0" fillId="0" borderId="0" xfId="0" applyNumberFormat="1" applyAlignment="1">
      <alignment/>
    </xf>
    <xf numFmtId="5" fontId="10" fillId="0" borderId="0" xfId="0" applyNumberFormat="1" applyFont="1" applyFill="1" applyBorder="1" applyAlignment="1" applyProtection="1">
      <alignment/>
      <protection/>
    </xf>
    <xf numFmtId="2" fontId="28" fillId="0" borderId="6" xfId="0" applyNumberFormat="1" applyFont="1" applyBorder="1" applyAlignment="1">
      <alignment/>
    </xf>
    <xf numFmtId="4" fontId="0" fillId="0" borderId="5" xfId="15" applyNumberFormat="1" applyFont="1" applyBorder="1" applyAlignment="1">
      <alignment/>
    </xf>
    <xf numFmtId="4" fontId="0" fillId="0" borderId="7" xfId="15" applyNumberFormat="1" applyFont="1" applyBorder="1" applyAlignment="1">
      <alignment/>
    </xf>
    <xf numFmtId="43" fontId="28" fillId="0" borderId="6" xfId="15" applyNumberFormat="1" applyFont="1" applyBorder="1" applyAlignment="1">
      <alignment/>
    </xf>
    <xf numFmtId="0" fontId="0" fillId="0" borderId="5" xfId="0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1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41" xfId="0" applyFont="1" applyFill="1" applyBorder="1" applyAlignment="1">
      <alignment horizontal="left" vertical="top"/>
    </xf>
    <xf numFmtId="5" fontId="10" fillId="0" borderId="40" xfId="0" applyNumberFormat="1" applyFont="1" applyFill="1" applyBorder="1" applyAlignment="1" applyProtection="1">
      <alignment vertical="top"/>
      <protection/>
    </xf>
    <xf numFmtId="173" fontId="10" fillId="0" borderId="40" xfId="0" applyNumberFormat="1" applyFont="1" applyFill="1" applyBorder="1" applyAlignment="1" applyProtection="1">
      <alignment vertical="top"/>
      <protection/>
    </xf>
    <xf numFmtId="173" fontId="10" fillId="0" borderId="46" xfId="0" applyNumberFormat="1" applyFont="1" applyFill="1" applyBorder="1" applyAlignment="1" applyProtection="1">
      <alignment vertical="top"/>
      <protection/>
    </xf>
    <xf numFmtId="5" fontId="10" fillId="0" borderId="46" xfId="0" applyNumberFormat="1" applyFont="1" applyFill="1" applyBorder="1" applyAlignment="1" applyProtection="1">
      <alignment vertical="top"/>
      <protection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37" fontId="10" fillId="0" borderId="55" xfId="0" applyNumberFormat="1" applyFont="1" applyFill="1" applyBorder="1" applyAlignment="1" applyProtection="1">
      <alignment/>
      <protection/>
    </xf>
    <xf numFmtId="173" fontId="10" fillId="0" borderId="55" xfId="0" applyNumberFormat="1" applyFont="1" applyFill="1" applyBorder="1" applyAlignment="1" applyProtection="1">
      <alignment/>
      <protection/>
    </xf>
    <xf numFmtId="173" fontId="10" fillId="0" borderId="56" xfId="0" applyNumberFormat="1" applyFont="1" applyFill="1" applyBorder="1" applyAlignment="1" applyProtection="1">
      <alignment/>
      <protection/>
    </xf>
    <xf numFmtId="37" fontId="10" fillId="0" borderId="56" xfId="0" applyNumberFormat="1" applyFont="1" applyFill="1" applyBorder="1" applyAlignment="1" applyProtection="1">
      <alignment/>
      <protection/>
    </xf>
    <xf numFmtId="38" fontId="10" fillId="0" borderId="55" xfId="0" applyNumberFormat="1" applyFont="1" applyFill="1" applyBorder="1" applyAlignment="1" applyProtection="1">
      <alignment/>
      <protection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37" fontId="10" fillId="0" borderId="60" xfId="0" applyNumberFormat="1" applyFont="1" applyFill="1" applyBorder="1" applyAlignment="1" applyProtection="1">
      <alignment horizontal="right"/>
      <protection/>
    </xf>
    <xf numFmtId="173" fontId="10" fillId="0" borderId="60" xfId="0" applyNumberFormat="1" applyFont="1" applyFill="1" applyBorder="1" applyAlignment="1" applyProtection="1">
      <alignment horizontal="right"/>
      <protection/>
    </xf>
    <xf numFmtId="173" fontId="10" fillId="0" borderId="61" xfId="0" applyNumberFormat="1" applyFont="1" applyFill="1" applyBorder="1" applyAlignment="1" applyProtection="1">
      <alignment horizontal="right"/>
      <protection/>
    </xf>
    <xf numFmtId="37" fontId="10" fillId="0" borderId="61" xfId="0" applyNumberFormat="1" applyFont="1" applyFill="1" applyBorder="1" applyAlignment="1" applyProtection="1">
      <alignment horizontal="right"/>
      <protection/>
    </xf>
    <xf numFmtId="0" fontId="8" fillId="0" borderId="58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left"/>
    </xf>
    <xf numFmtId="5" fontId="10" fillId="0" borderId="60" xfId="0" applyNumberFormat="1" applyFont="1" applyFill="1" applyBorder="1" applyAlignment="1" applyProtection="1">
      <alignment/>
      <protection/>
    </xf>
    <xf numFmtId="173" fontId="10" fillId="0" borderId="60" xfId="0" applyNumberFormat="1" applyFont="1" applyFill="1" applyBorder="1" applyAlignment="1" applyProtection="1">
      <alignment/>
      <protection/>
    </xf>
    <xf numFmtId="173" fontId="10" fillId="0" borderId="61" xfId="0" applyNumberFormat="1" applyFont="1" applyFill="1" applyBorder="1" applyAlignment="1" applyProtection="1">
      <alignment/>
      <protection/>
    </xf>
    <xf numFmtId="5" fontId="10" fillId="0" borderId="61" xfId="0" applyNumberFormat="1" applyFont="1" applyFill="1" applyBorder="1" applyAlignment="1" applyProtection="1">
      <alignment/>
      <protection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left"/>
    </xf>
    <xf numFmtId="5" fontId="10" fillId="0" borderId="64" xfId="0" applyNumberFormat="1" applyFont="1" applyFill="1" applyBorder="1" applyAlignment="1" applyProtection="1">
      <alignment/>
      <protection/>
    </xf>
    <xf numFmtId="10" fontId="10" fillId="0" borderId="64" xfId="0" applyNumberFormat="1" applyFont="1" applyFill="1" applyBorder="1" applyAlignment="1" applyProtection="1">
      <alignment/>
      <protection/>
    </xf>
    <xf numFmtId="173" fontId="10" fillId="0" borderId="64" xfId="0" applyNumberFormat="1" applyFont="1" applyFill="1" applyBorder="1" applyAlignment="1" applyProtection="1">
      <alignment/>
      <protection/>
    </xf>
    <xf numFmtId="173" fontId="10" fillId="0" borderId="65" xfId="0" applyNumberFormat="1" applyFont="1" applyFill="1" applyBorder="1" applyAlignment="1" applyProtection="1">
      <alignment/>
      <protection/>
    </xf>
    <xf numFmtId="0" fontId="19" fillId="0" borderId="62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5" fontId="19" fillId="0" borderId="64" xfId="0" applyNumberFormat="1" applyFont="1" applyFill="1" applyBorder="1" applyAlignment="1" applyProtection="1">
      <alignment/>
      <protection/>
    </xf>
    <xf numFmtId="173" fontId="19" fillId="0" borderId="64" xfId="0" applyNumberFormat="1" applyFont="1" applyFill="1" applyBorder="1" applyAlignment="1" applyProtection="1">
      <alignment/>
      <protection/>
    </xf>
    <xf numFmtId="173" fontId="19" fillId="0" borderId="65" xfId="0" applyNumberFormat="1" applyFont="1" applyFill="1" applyBorder="1" applyAlignment="1" applyProtection="1">
      <alignment/>
      <protection/>
    </xf>
    <xf numFmtId="5" fontId="19" fillId="0" borderId="65" xfId="0" applyNumberFormat="1" applyFont="1" applyFill="1" applyBorder="1" applyAlignment="1" applyProtection="1">
      <alignment/>
      <protection/>
    </xf>
    <xf numFmtId="0" fontId="10" fillId="0" borderId="57" xfId="0" applyFont="1" applyFill="1" applyBorder="1" applyAlignment="1">
      <alignment/>
    </xf>
    <xf numFmtId="5" fontId="10" fillId="0" borderId="65" xfId="0" applyNumberFormat="1" applyFont="1" applyFill="1" applyBorder="1" applyAlignment="1" applyProtection="1">
      <alignment/>
      <protection/>
    </xf>
    <xf numFmtId="0" fontId="19" fillId="0" borderId="63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41" xfId="0" applyFont="1" applyFill="1" applyBorder="1" applyAlignment="1">
      <alignment horizontal="left"/>
    </xf>
    <xf numFmtId="5" fontId="8" fillId="0" borderId="66" xfId="0" applyNumberFormat="1" applyFont="1" applyFill="1" applyBorder="1" applyAlignment="1" applyProtection="1">
      <alignment/>
      <protection/>
    </xf>
    <xf numFmtId="5" fontId="8" fillId="0" borderId="67" xfId="0" applyNumberFormat="1" applyFont="1" applyFill="1" applyBorder="1" applyAlignment="1" applyProtection="1">
      <alignment/>
      <protection/>
    </xf>
    <xf numFmtId="5" fontId="10" fillId="0" borderId="66" xfId="0" applyNumberFormat="1" applyFont="1" applyFill="1" applyBorder="1" applyAlignment="1" applyProtection="1">
      <alignment/>
      <protection/>
    </xf>
    <xf numFmtId="5" fontId="10" fillId="0" borderId="14" xfId="0" applyNumberFormat="1" applyFont="1" applyFill="1" applyBorder="1" applyAlignment="1" applyProtection="1">
      <alignment/>
      <protection/>
    </xf>
    <xf numFmtId="173" fontId="10" fillId="0" borderId="67" xfId="0" applyNumberFormat="1" applyFont="1" applyFill="1" applyBorder="1" applyAlignment="1" applyProtection="1">
      <alignment/>
      <protection/>
    </xf>
    <xf numFmtId="1" fontId="0" fillId="0" borderId="5" xfId="0" applyNumberFormat="1" applyFill="1" applyBorder="1" applyAlignment="1">
      <alignment/>
    </xf>
    <xf numFmtId="0" fontId="22" fillId="0" borderId="4" xfId="0" applyFont="1" applyBorder="1" applyAlignment="1">
      <alignment horizontal="center"/>
    </xf>
    <xf numFmtId="0" fontId="28" fillId="5" borderId="5" xfId="0" applyFont="1" applyFill="1" applyBorder="1" applyAlignment="1">
      <alignment horizontal="center" vertical="center" wrapText="1"/>
    </xf>
    <xf numFmtId="0" fontId="43" fillId="5" borderId="68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 wrapText="1"/>
    </xf>
    <xf numFmtId="0" fontId="11" fillId="0" borderId="0" xfId="0" applyFont="1" applyBorder="1" applyAlignment="1" applyProtection="1">
      <alignment horizontal="center"/>
      <protection locked="0"/>
    </xf>
    <xf numFmtId="6" fontId="0" fillId="0" borderId="7" xfId="0" applyNumberFormat="1" applyBorder="1" applyAlignment="1">
      <alignment/>
    </xf>
    <xf numFmtId="6" fontId="0" fillId="0" borderId="4" xfId="0" applyNumberFormat="1" applyBorder="1" applyAlignment="1">
      <alignment/>
    </xf>
    <xf numFmtId="0" fontId="0" fillId="0" borderId="69" xfId="0" applyBorder="1" applyAlignment="1">
      <alignment/>
    </xf>
    <xf numFmtId="5" fontId="10" fillId="7" borderId="70" xfId="0" applyNumberFormat="1" applyFont="1" applyFill="1" applyBorder="1" applyAlignment="1" applyProtection="1">
      <alignment vertical="center"/>
      <protection/>
    </xf>
    <xf numFmtId="5" fontId="8" fillId="7" borderId="67" xfId="0" applyNumberFormat="1" applyFont="1" applyFill="1" applyBorder="1" applyAlignment="1" applyProtection="1">
      <alignment vertical="center"/>
      <protection/>
    </xf>
    <xf numFmtId="5" fontId="10" fillId="7" borderId="14" xfId="0" applyNumberFormat="1" applyFont="1" applyFill="1" applyBorder="1" applyAlignment="1" applyProtection="1">
      <alignment/>
      <protection/>
    </xf>
    <xf numFmtId="5" fontId="8" fillId="7" borderId="67" xfId="0" applyNumberFormat="1" applyFont="1" applyFill="1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vertical="top"/>
      <protection/>
    </xf>
    <xf numFmtId="10" fontId="10" fillId="0" borderId="53" xfId="0" applyNumberFormat="1" applyFont="1" applyFill="1" applyBorder="1" applyAlignment="1" applyProtection="1">
      <alignment/>
      <protection/>
    </xf>
    <xf numFmtId="10" fontId="10" fillId="0" borderId="26" xfId="0" applyNumberFormat="1" applyFont="1" applyFill="1" applyBorder="1" applyAlignment="1" applyProtection="1">
      <alignment/>
      <protection/>
    </xf>
    <xf numFmtId="10" fontId="10" fillId="0" borderId="20" xfId="0" applyNumberFormat="1" applyFont="1" applyFill="1" applyBorder="1" applyAlignment="1" applyProtection="1">
      <alignment/>
      <protection/>
    </xf>
    <xf numFmtId="10" fontId="10" fillId="0" borderId="58" xfId="0" applyNumberFormat="1" applyFont="1" applyFill="1" applyBorder="1" applyAlignment="1" applyProtection="1">
      <alignment/>
      <protection/>
    </xf>
    <xf numFmtId="10" fontId="10" fillId="0" borderId="63" xfId="0" applyNumberFormat="1" applyFont="1" applyFill="1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/>
      <protection/>
    </xf>
    <xf numFmtId="10" fontId="10" fillId="0" borderId="17" xfId="0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166" fontId="0" fillId="0" borderId="3" xfId="15" applyNumberFormat="1" applyFont="1" applyFill="1" applyBorder="1" applyAlignment="1" applyProtection="1">
      <alignment/>
      <protection/>
    </xf>
    <xf numFmtId="6" fontId="0" fillId="0" borderId="1" xfId="15" applyNumberFormat="1" applyFont="1" applyFill="1" applyBorder="1" applyAlignment="1" applyProtection="1">
      <alignment/>
      <protection/>
    </xf>
    <xf numFmtId="5" fontId="8" fillId="0" borderId="71" xfId="0" applyNumberFormat="1" applyFont="1" applyFill="1" applyBorder="1" applyAlignment="1" applyProtection="1">
      <alignment/>
      <protection/>
    </xf>
    <xf numFmtId="5" fontId="8" fillId="0" borderId="72" xfId="0" applyNumberFormat="1" applyFont="1" applyFill="1" applyBorder="1" applyAlignment="1" applyProtection="1">
      <alignment/>
      <protection/>
    </xf>
    <xf numFmtId="166" fontId="5" fillId="0" borderId="1" xfId="15" applyNumberFormat="1" applyFont="1" applyFill="1" applyBorder="1" applyAlignment="1" applyProtection="1">
      <alignment/>
      <protection locked="0"/>
    </xf>
    <xf numFmtId="10" fontId="10" fillId="0" borderId="28" xfId="0" applyNumberFormat="1" applyFont="1" applyFill="1" applyBorder="1" applyAlignment="1" applyProtection="1">
      <alignment/>
      <protection/>
    </xf>
    <xf numFmtId="10" fontId="10" fillId="0" borderId="73" xfId="0" applyNumberFormat="1" applyFont="1" applyFill="1" applyBorder="1" applyAlignment="1" applyProtection="1">
      <alignment/>
      <protection/>
    </xf>
    <xf numFmtId="5" fontId="0" fillId="0" borderId="0" xfId="0" applyNumberFormat="1" applyAlignment="1">
      <alignment/>
    </xf>
    <xf numFmtId="5" fontId="19" fillId="0" borderId="0" xfId="0" applyNumberFormat="1" applyFont="1" applyFill="1" applyBorder="1" applyAlignment="1" applyProtection="1">
      <alignment vertical="center"/>
      <protection/>
    </xf>
    <xf numFmtId="10" fontId="3" fillId="0" borderId="0" xfId="21" applyNumberFormat="1" applyFont="1" applyAlignment="1">
      <alignment/>
    </xf>
    <xf numFmtId="166" fontId="0" fillId="0" borderId="0" xfId="15" applyNumberFormat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165" fontId="0" fillId="0" borderId="0" xfId="15" applyNumberFormat="1" applyFont="1" applyAlignment="1">
      <alignment/>
    </xf>
    <xf numFmtId="7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8" fontId="0" fillId="0" borderId="1" xfId="15" applyNumberFormat="1" applyFont="1" applyFill="1" applyBorder="1" applyAlignment="1" applyProtection="1">
      <alignment/>
      <protection/>
    </xf>
    <xf numFmtId="5" fontId="0" fillId="0" borderId="35" xfId="0" applyNumberFormat="1" applyFont="1" applyFill="1" applyBorder="1" applyAlignment="1" applyProtection="1">
      <alignment/>
      <protection/>
    </xf>
    <xf numFmtId="5" fontId="44" fillId="0" borderId="0" xfId="0" applyNumberFormat="1" applyFont="1" applyAlignment="1">
      <alignment/>
    </xf>
    <xf numFmtId="0" fontId="28" fillId="5" borderId="47" xfId="0" applyFont="1" applyFill="1" applyBorder="1" applyAlignment="1" applyProtection="1">
      <alignment horizontal="center" wrapText="1"/>
      <protection locked="0"/>
    </xf>
    <xf numFmtId="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5" fontId="0" fillId="0" borderId="0" xfId="0" applyNumberFormat="1" applyFill="1" applyAlignment="1">
      <alignment/>
    </xf>
    <xf numFmtId="0" fontId="28" fillId="5" borderId="43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 vertical="center" wrapText="1"/>
    </xf>
    <xf numFmtId="171" fontId="25" fillId="5" borderId="43" xfId="0" applyNumberFormat="1" applyFont="1" applyFill="1" applyBorder="1" applyAlignment="1">
      <alignment horizontal="center" vertical="center" wrapText="1"/>
    </xf>
    <xf numFmtId="166" fontId="0" fillId="6" borderId="43" xfId="15" applyNumberFormat="1" applyFont="1" applyFill="1" applyBorder="1" applyAlignment="1">
      <alignment horizontal="center"/>
    </xf>
    <xf numFmtId="0" fontId="45" fillId="0" borderId="0" xfId="0" applyFont="1" applyAlignment="1" applyProtection="1">
      <alignment/>
      <protection locked="0"/>
    </xf>
    <xf numFmtId="16" fontId="0" fillId="0" borderId="0" xfId="0" applyNumberFormat="1" applyFont="1" applyAlignment="1" applyProtection="1" quotePrefix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4" fillId="0" borderId="74" xfId="0" applyNumberFormat="1" applyFont="1" applyBorder="1" applyAlignment="1" applyProtection="1">
      <alignment horizontal="center"/>
      <protection locked="0"/>
    </xf>
    <xf numFmtId="5" fontId="4" fillId="0" borderId="3" xfId="0" applyNumberFormat="1" applyFont="1" applyBorder="1" applyAlignment="1" applyProtection="1">
      <alignment horizontal="center"/>
      <protection locked="0"/>
    </xf>
    <xf numFmtId="5" fontId="4" fillId="0" borderId="3" xfId="0" applyNumberFormat="1" applyFont="1" applyBorder="1" applyAlignment="1" applyProtection="1" quotePrefix="1">
      <alignment horizontal="center"/>
      <protection locked="0"/>
    </xf>
    <xf numFmtId="166" fontId="4" fillId="0" borderId="3" xfId="15" applyNumberFormat="1" applyFont="1" applyBorder="1" applyAlignment="1" applyProtection="1" quotePrefix="1">
      <alignment horizontal="center"/>
      <protection locked="0"/>
    </xf>
    <xf numFmtId="5" fontId="4" fillId="0" borderId="3" xfId="0" applyNumberFormat="1" applyFont="1" applyBorder="1" applyAlignment="1" applyProtection="1">
      <alignment/>
      <protection locked="0"/>
    </xf>
    <xf numFmtId="5" fontId="0" fillId="0" borderId="0" xfId="0" applyNumberFormat="1" applyFont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5" fontId="0" fillId="0" borderId="75" xfId="0" applyNumberFormat="1" applyFont="1" applyBorder="1" applyAlignment="1" applyProtection="1">
      <alignment/>
      <protection/>
    </xf>
    <xf numFmtId="10" fontId="0" fillId="0" borderId="34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10" fontId="0" fillId="0" borderId="1" xfId="0" applyNumberFormat="1" applyFont="1" applyBorder="1" applyAlignment="1" applyProtection="1">
      <alignment/>
      <protection/>
    </xf>
    <xf numFmtId="5" fontId="0" fillId="0" borderId="74" xfId="0" applyNumberFormat="1" applyFont="1" applyBorder="1" applyAlignment="1" applyProtection="1">
      <alignment/>
      <protection/>
    </xf>
    <xf numFmtId="10" fontId="0" fillId="0" borderId="3" xfId="0" applyNumberFormat="1" applyFont="1" applyBorder="1" applyAlignment="1" applyProtection="1">
      <alignment/>
      <protection/>
    </xf>
    <xf numFmtId="5" fontId="4" fillId="0" borderId="75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5" fontId="0" fillId="0" borderId="75" xfId="0" applyNumberFormat="1" applyFont="1" applyFill="1" applyBorder="1" applyAlignment="1" applyProtection="1">
      <alignment/>
      <protection/>
    </xf>
    <xf numFmtId="10" fontId="0" fillId="0" borderId="1" xfId="0" applyNumberFormat="1" applyFont="1" applyFill="1" applyBorder="1" applyAlignment="1" applyProtection="1">
      <alignment/>
      <protection/>
    </xf>
    <xf numFmtId="5" fontId="28" fillId="3" borderId="76" xfId="0" applyNumberFormat="1" applyFont="1" applyFill="1" applyBorder="1" applyAlignment="1" applyProtection="1">
      <alignment/>
      <protection/>
    </xf>
    <xf numFmtId="5" fontId="4" fillId="2" borderId="76" xfId="0" applyNumberFormat="1" applyFont="1" applyFill="1" applyBorder="1" applyAlignment="1" applyProtection="1">
      <alignment/>
      <protection/>
    </xf>
    <xf numFmtId="10" fontId="4" fillId="2" borderId="2" xfId="0" applyNumberFormat="1" applyFont="1" applyFill="1" applyBorder="1" applyAlignment="1" applyProtection="1">
      <alignment/>
      <protection/>
    </xf>
    <xf numFmtId="10" fontId="4" fillId="2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6" fontId="23" fillId="4" borderId="43" xfId="15" applyNumberFormat="1" applyFont="1" applyFill="1" applyBorder="1" applyAlignment="1">
      <alignment horizontal="right"/>
    </xf>
    <xf numFmtId="185" fontId="0" fillId="0" borderId="5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197" fontId="0" fillId="0" borderId="5" xfId="21" applyNumberFormat="1" applyFont="1" applyBorder="1" applyAlignment="1">
      <alignment/>
    </xf>
    <xf numFmtId="197" fontId="0" fillId="0" borderId="7" xfId="21" applyNumberFormat="1" applyFont="1" applyBorder="1" applyAlignment="1">
      <alignment/>
    </xf>
    <xf numFmtId="0" fontId="4" fillId="8" borderId="0" xfId="0" applyFont="1" applyFill="1" applyAlignment="1" applyProtection="1">
      <alignment horizontal="center" wrapText="1"/>
      <protection locked="0"/>
    </xf>
    <xf numFmtId="5" fontId="0" fillId="0" borderId="3" xfId="0" applyNumberFormat="1" applyFont="1" applyFill="1" applyBorder="1" applyAlignment="1" applyProtection="1">
      <alignment/>
      <protection/>
    </xf>
    <xf numFmtId="5" fontId="25" fillId="3" borderId="2" xfId="0" applyNumberFormat="1" applyFont="1" applyFill="1" applyBorder="1" applyAlignment="1" applyProtection="1">
      <alignment/>
      <protection/>
    </xf>
    <xf numFmtId="0" fontId="0" fillId="6" borderId="77" xfId="0" applyFont="1" applyFill="1" applyBorder="1" applyAlignment="1" applyProtection="1">
      <alignment/>
      <protection/>
    </xf>
    <xf numFmtId="0" fontId="4" fillId="6" borderId="78" xfId="0" applyFont="1" applyFill="1" applyBorder="1" applyAlignment="1" applyProtection="1">
      <alignment/>
      <protection/>
    </xf>
    <xf numFmtId="0" fontId="22" fillId="6" borderId="74" xfId="0" applyFont="1" applyFill="1" applyBorder="1" applyAlignment="1" applyProtection="1">
      <alignment horizontal="center"/>
      <protection/>
    </xf>
    <xf numFmtId="49" fontId="22" fillId="6" borderId="79" xfId="0" applyNumberFormat="1" applyFont="1" applyFill="1" applyBorder="1" applyAlignment="1" applyProtection="1">
      <alignment horizontal="center"/>
      <protection/>
    </xf>
    <xf numFmtId="49" fontId="22" fillId="6" borderId="3" xfId="0" applyNumberFormat="1" applyFont="1" applyFill="1" applyBorder="1" applyAlignment="1" applyProtection="1">
      <alignment horizontal="center"/>
      <protection/>
    </xf>
    <xf numFmtId="0" fontId="0" fillId="5" borderId="7" xfId="0" applyFont="1" applyFill="1" applyBorder="1" applyAlignment="1" applyProtection="1">
      <alignment/>
      <protection/>
    </xf>
    <xf numFmtId="0" fontId="28" fillId="5" borderId="7" xfId="0" applyFont="1" applyFill="1" applyBorder="1" applyAlignment="1" applyProtection="1">
      <alignment/>
      <protection/>
    </xf>
    <xf numFmtId="0" fontId="25" fillId="5" borderId="7" xfId="0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7" fontId="22" fillId="5" borderId="7" xfId="0" applyNumberFormat="1" applyFont="1" applyFill="1" applyBorder="1" applyAlignment="1" applyProtection="1">
      <alignment horizontal="center"/>
      <protection/>
    </xf>
    <xf numFmtId="0" fontId="0" fillId="5" borderId="77" xfId="0" applyFont="1" applyFill="1" applyBorder="1" applyAlignment="1">
      <alignment horizontal="center" wrapText="1"/>
    </xf>
    <xf numFmtId="6" fontId="4" fillId="0" borderId="5" xfId="0" applyNumberFormat="1" applyFont="1" applyBorder="1" applyAlignment="1">
      <alignment/>
    </xf>
    <xf numFmtId="6" fontId="4" fillId="0" borderId="7" xfId="0" applyNumberFormat="1" applyFont="1" applyBorder="1" applyAlignment="1">
      <alignment/>
    </xf>
    <xf numFmtId="0" fontId="0" fillId="0" borderId="8" xfId="0" applyFont="1" applyBorder="1" applyAlignment="1" applyProtection="1">
      <alignment/>
      <protection/>
    </xf>
    <xf numFmtId="0" fontId="0" fillId="5" borderId="80" xfId="0" applyFont="1" applyFill="1" applyBorder="1" applyAlignment="1" applyProtection="1">
      <alignment/>
      <protection/>
    </xf>
    <xf numFmtId="0" fontId="4" fillId="5" borderId="81" xfId="0" applyFont="1" applyFill="1" applyBorder="1" applyAlignment="1" applyProtection="1">
      <alignment/>
      <protection/>
    </xf>
    <xf numFmtId="0" fontId="0" fillId="5" borderId="82" xfId="0" applyFont="1" applyFill="1" applyBorder="1" applyAlignment="1" applyProtection="1">
      <alignment/>
      <protection/>
    </xf>
    <xf numFmtId="0" fontId="28" fillId="5" borderId="83" xfId="0" applyFont="1" applyFill="1" applyBorder="1" applyAlignment="1" applyProtection="1">
      <alignment/>
      <protection/>
    </xf>
    <xf numFmtId="0" fontId="28" fillId="5" borderId="1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 applyProtection="1">
      <alignment/>
      <protection/>
    </xf>
    <xf numFmtId="0" fontId="28" fillId="5" borderId="4" xfId="0" applyFont="1" applyFill="1" applyBorder="1" applyAlignment="1" applyProtection="1">
      <alignment/>
      <protection/>
    </xf>
    <xf numFmtId="0" fontId="28" fillId="9" borderId="4" xfId="0" applyFont="1" applyFill="1" applyBorder="1" applyAlignment="1" applyProtection="1">
      <alignment horizontal="center" wrapText="1"/>
      <protection/>
    </xf>
    <xf numFmtId="0" fontId="28" fillId="5" borderId="4" xfId="0" applyFont="1" applyFill="1" applyBorder="1" applyAlignment="1" applyProtection="1">
      <alignment horizontal="center" wrapText="1"/>
      <protection locked="0"/>
    </xf>
    <xf numFmtId="0" fontId="25" fillId="5" borderId="4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0" borderId="49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0" fontId="28" fillId="0" borderId="85" xfId="0" applyFont="1" applyBorder="1" applyAlignment="1">
      <alignment/>
    </xf>
    <xf numFmtId="0" fontId="0" fillId="0" borderId="68" xfId="0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28" fillId="0" borderId="50" xfId="0" applyFont="1" applyBorder="1" applyAlignment="1">
      <alignment/>
    </xf>
    <xf numFmtId="0" fontId="25" fillId="5" borderId="4" xfId="0" applyFont="1" applyFill="1" applyBorder="1" applyAlignment="1">
      <alignment horizontal="center" wrapText="1"/>
    </xf>
    <xf numFmtId="0" fontId="22" fillId="5" borderId="4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/>
    </xf>
    <xf numFmtId="166" fontId="22" fillId="6" borderId="43" xfId="15" applyNumberFormat="1" applyFont="1" applyFill="1" applyBorder="1" applyAlignment="1">
      <alignment horizontal="center"/>
    </xf>
    <xf numFmtId="166" fontId="0" fillId="6" borderId="86" xfId="15" applyNumberFormat="1" applyFont="1" applyFill="1" applyBorder="1" applyAlignment="1">
      <alignment horizontal="center"/>
    </xf>
    <xf numFmtId="166" fontId="22" fillId="6" borderId="87" xfId="15" applyNumberFormat="1" applyFont="1" applyFill="1" applyBorder="1" applyAlignment="1">
      <alignment horizontal="center"/>
    </xf>
    <xf numFmtId="0" fontId="28" fillId="5" borderId="43" xfId="0" applyFont="1" applyFill="1" applyBorder="1" applyAlignment="1">
      <alignment horizontal="center" wrapText="1"/>
    </xf>
    <xf numFmtId="0" fontId="0" fillId="5" borderId="4" xfId="0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8" fillId="5" borderId="7" xfId="0" applyFont="1" applyFill="1" applyBorder="1" applyAlignment="1">
      <alignment horizontal="center"/>
    </xf>
    <xf numFmtId="0" fontId="28" fillId="5" borderId="48" xfId="0" applyFont="1" applyFill="1" applyBorder="1" applyAlignment="1">
      <alignment horizontal="center"/>
    </xf>
    <xf numFmtId="0" fontId="25" fillId="5" borderId="84" xfId="0" applyFont="1" applyFill="1" applyBorder="1" applyAlignment="1">
      <alignment horizontal="center"/>
    </xf>
    <xf numFmtId="0" fontId="0" fillId="5" borderId="88" xfId="0" applyFill="1" applyBorder="1" applyAlignment="1">
      <alignment/>
    </xf>
    <xf numFmtId="15" fontId="3" fillId="5" borderId="4" xfId="0" applyNumberFormat="1" applyFont="1" applyFill="1" applyBorder="1" applyAlignment="1">
      <alignment horizontal="center"/>
    </xf>
    <xf numFmtId="0" fontId="25" fillId="5" borderId="69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/>
    </xf>
    <xf numFmtId="0" fontId="25" fillId="5" borderId="87" xfId="0" applyFont="1" applyFill="1" applyBorder="1" applyAlignment="1">
      <alignment horizontal="center" wrapText="1"/>
    </xf>
    <xf numFmtId="0" fontId="0" fillId="5" borderId="48" xfId="0" applyFont="1" applyFill="1" applyBorder="1" applyAlignment="1">
      <alignment horizontal="center" wrapText="1"/>
    </xf>
    <xf numFmtId="0" fontId="46" fillId="10" borderId="43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/>
      <protection/>
    </xf>
    <xf numFmtId="5" fontId="0" fillId="11" borderId="0" xfId="0" applyNumberFormat="1" applyFill="1" applyAlignment="1">
      <alignment/>
    </xf>
    <xf numFmtId="7" fontId="0" fillId="0" borderId="0" xfId="0" applyNumberFormat="1" applyAlignment="1">
      <alignment wrapText="1"/>
    </xf>
    <xf numFmtId="0" fontId="28" fillId="5" borderId="4" xfId="0" applyFont="1" applyFill="1" applyBorder="1" applyAlignment="1">
      <alignment horizontal="center" wrapText="1"/>
    </xf>
    <xf numFmtId="5" fontId="4" fillId="0" borderId="79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left" wrapText="1"/>
    </xf>
    <xf numFmtId="5" fontId="28" fillId="5" borderId="4" xfId="0" applyNumberFormat="1" applyFont="1" applyFill="1" applyBorder="1" applyAlignment="1" applyProtection="1">
      <alignment horizontal="center" wrapText="1"/>
      <protection locked="0"/>
    </xf>
    <xf numFmtId="167" fontId="28" fillId="5" borderId="7" xfId="0" applyNumberFormat="1" applyFont="1" applyFill="1" applyBorder="1" applyAlignment="1" applyProtection="1">
      <alignment horizontal="center"/>
      <protection/>
    </xf>
    <xf numFmtId="0" fontId="28" fillId="5" borderId="7" xfId="0" applyFont="1" applyFill="1" applyBorder="1" applyAlignment="1">
      <alignment horizontal="center" wrapText="1"/>
    </xf>
    <xf numFmtId="167" fontId="22" fillId="5" borderId="7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/>
    </xf>
    <xf numFmtId="0" fontId="10" fillId="0" borderId="26" xfId="0" applyFont="1" applyFill="1" applyBorder="1" applyAlignment="1">
      <alignment horizontal="left"/>
    </xf>
    <xf numFmtId="179" fontId="0" fillId="0" borderId="5" xfId="15" applyNumberFormat="1" applyFont="1" applyBorder="1" applyAlignment="1" quotePrefix="1">
      <alignment horizontal="fill"/>
    </xf>
    <xf numFmtId="0" fontId="0" fillId="0" borderId="0" xfId="0" applyAlignment="1" quotePrefix="1">
      <alignment horizontal="left"/>
    </xf>
    <xf numFmtId="179" fontId="0" fillId="0" borderId="0" xfId="0" applyNumberFormat="1" applyAlignment="1">
      <alignment/>
    </xf>
    <xf numFmtId="179" fontId="0" fillId="0" borderId="8" xfId="0" applyNumberFormat="1" applyBorder="1" applyAlignment="1">
      <alignment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 quotePrefix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 quotePrefix="1">
      <alignment horizontal="center"/>
    </xf>
    <xf numFmtId="0" fontId="47" fillId="0" borderId="0" xfId="0" applyFont="1" applyAlignment="1">
      <alignment/>
    </xf>
    <xf numFmtId="0" fontId="28" fillId="5" borderId="4" xfId="0" applyFont="1" applyFill="1" applyBorder="1" applyAlignment="1" quotePrefix="1">
      <alignment horizontal="center" wrapText="1"/>
    </xf>
    <xf numFmtId="0" fontId="22" fillId="6" borderId="43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166" fontId="0" fillId="0" borderId="5" xfId="15" applyNumberFormat="1" applyFill="1" applyBorder="1" applyAlignment="1">
      <alignment/>
    </xf>
    <xf numFmtId="166" fontId="0" fillId="0" borderId="7" xfId="15" applyNumberFormat="1" applyFill="1" applyBorder="1" applyAlignment="1">
      <alignment/>
    </xf>
    <xf numFmtId="0" fontId="27" fillId="0" borderId="0" xfId="0" applyFont="1" applyAlignment="1" quotePrefix="1">
      <alignment horizontal="left"/>
    </xf>
    <xf numFmtId="0" fontId="48" fillId="0" borderId="0" xfId="0" applyFont="1" applyAlignment="1">
      <alignment/>
    </xf>
    <xf numFmtId="0" fontId="28" fillId="5" borderId="43" xfId="0" applyFont="1" applyFill="1" applyBorder="1" applyAlignment="1" quotePrefix="1">
      <alignment horizontal="center" vertical="center" wrapText="1"/>
    </xf>
    <xf numFmtId="49" fontId="22" fillId="6" borderId="1" xfId="0" applyNumberFormat="1" applyFont="1" applyFill="1" applyBorder="1" applyAlignment="1" applyProtection="1" quotePrefix="1">
      <alignment horizontal="center"/>
      <protection/>
    </xf>
    <xf numFmtId="5" fontId="4" fillId="0" borderId="34" xfId="0" applyNumberFormat="1" applyFont="1" applyFill="1" applyBorder="1" applyAlignment="1" applyProtection="1">
      <alignment/>
      <protection/>
    </xf>
    <xf numFmtId="5" fontId="4" fillId="0" borderId="5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37" fontId="0" fillId="0" borderId="89" xfId="0" applyNumberFormat="1" applyBorder="1" applyAlignment="1">
      <alignment/>
    </xf>
    <xf numFmtId="37" fontId="28" fillId="0" borderId="6" xfId="15" applyNumberFormat="1" applyFont="1" applyBorder="1" applyAlignment="1">
      <alignment/>
    </xf>
    <xf numFmtId="167" fontId="0" fillId="0" borderId="5" xfId="0" applyNumberFormat="1" applyFont="1" applyFill="1" applyBorder="1" applyAlignment="1">
      <alignment/>
    </xf>
    <xf numFmtId="0" fontId="28" fillId="5" borderId="5" xfId="0" applyFont="1" applyFill="1" applyBorder="1" applyAlignment="1" quotePrefix="1">
      <alignment horizontal="center" vertical="center" wrapText="1"/>
    </xf>
    <xf numFmtId="1" fontId="0" fillId="0" borderId="7" xfId="0" applyNumberFormat="1" applyFill="1" applyBorder="1" applyAlignment="1">
      <alignment/>
    </xf>
    <xf numFmtId="167" fontId="0" fillId="0" borderId="7" xfId="0" applyNumberFormat="1" applyFont="1" applyFill="1" applyBorder="1" applyAlignment="1">
      <alignment/>
    </xf>
    <xf numFmtId="5" fontId="25" fillId="5" borderId="7" xfId="0" applyNumberFormat="1" applyFont="1" applyFill="1" applyBorder="1" applyAlignment="1">
      <alignment horizontal="center"/>
    </xf>
    <xf numFmtId="0" fontId="28" fillId="5" borderId="4" xfId="0" applyFont="1" applyFill="1" applyBorder="1" applyAlignment="1" applyProtection="1" quotePrefix="1">
      <alignment horizontal="center" wrapText="1"/>
      <protection locked="0"/>
    </xf>
    <xf numFmtId="0" fontId="22" fillId="6" borderId="43" xfId="0" applyFont="1" applyFill="1" applyBorder="1" applyAlignment="1" quotePrefix="1">
      <alignment horizontal="left"/>
    </xf>
    <xf numFmtId="6" fontId="0" fillId="0" borderId="7" xfId="0" applyNumberFormat="1" applyFill="1" applyBorder="1" applyAlignment="1">
      <alignment/>
    </xf>
    <xf numFmtId="0" fontId="8" fillId="0" borderId="63" xfId="0" applyFont="1" applyFill="1" applyBorder="1" applyAlignment="1">
      <alignment/>
    </xf>
    <xf numFmtId="5" fontId="8" fillId="0" borderId="64" xfId="0" applyNumberFormat="1" applyFont="1" applyFill="1" applyBorder="1" applyAlignment="1" applyProtection="1">
      <alignment/>
      <protection/>
    </xf>
    <xf numFmtId="173" fontId="8" fillId="0" borderId="64" xfId="0" applyNumberFormat="1" applyFont="1" applyFill="1" applyBorder="1" applyAlignment="1" applyProtection="1">
      <alignment/>
      <protection/>
    </xf>
    <xf numFmtId="173" fontId="8" fillId="0" borderId="65" xfId="0" applyNumberFormat="1" applyFont="1" applyFill="1" applyBorder="1" applyAlignment="1" applyProtection="1">
      <alignment/>
      <protection/>
    </xf>
    <xf numFmtId="5" fontId="8" fillId="0" borderId="65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6" fontId="10" fillId="0" borderId="64" xfId="0" applyNumberFormat="1" applyFont="1" applyFill="1" applyBorder="1" applyAlignment="1" applyProtection="1">
      <alignment/>
      <protection/>
    </xf>
    <xf numFmtId="5" fontId="10" fillId="0" borderId="32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5" fontId="28" fillId="5" borderId="4" xfId="0" applyNumberFormat="1" applyFont="1" applyFill="1" applyBorder="1" applyAlignment="1" applyProtection="1" quotePrefix="1">
      <alignment horizontal="center" wrapText="1"/>
      <protection locked="0"/>
    </xf>
    <xf numFmtId="196" fontId="0" fillId="0" borderId="5" xfId="21" applyNumberFormat="1" applyFont="1" applyFill="1" applyBorder="1" applyAlignment="1">
      <alignment/>
    </xf>
    <xf numFmtId="196" fontId="0" fillId="0" borderId="7" xfId="21" applyNumberFormat="1" applyFont="1" applyFill="1" applyBorder="1" applyAlignment="1">
      <alignment/>
    </xf>
    <xf numFmtId="0" fontId="50" fillId="0" borderId="0" xfId="0" applyFont="1" applyBorder="1" applyAlignment="1" quotePrefix="1">
      <alignment horizontal="left" wrapText="1"/>
    </xf>
    <xf numFmtId="0" fontId="50" fillId="0" borderId="0" xfId="0" applyFont="1" applyBorder="1" applyAlignment="1" quotePrefix="1">
      <alignment horizontal="left"/>
    </xf>
    <xf numFmtId="2" fontId="0" fillId="0" borderId="5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21" fillId="5" borderId="87" xfId="0" applyFont="1" applyFill="1" applyBorder="1" applyAlignment="1">
      <alignment horizontal="center" wrapText="1"/>
    </xf>
    <xf numFmtId="166" fontId="22" fillId="6" borderId="87" xfId="15" applyNumberFormat="1" applyFont="1" applyFill="1" applyBorder="1" applyAlignment="1" quotePrefix="1">
      <alignment horizontal="center"/>
    </xf>
    <xf numFmtId="10" fontId="0" fillId="0" borderId="69" xfId="21" applyNumberFormat="1" applyFont="1" applyFill="1" applyBorder="1" applyAlignment="1">
      <alignment/>
    </xf>
    <xf numFmtId="10" fontId="0" fillId="0" borderId="84" xfId="21" applyNumberFormat="1" applyFont="1" applyFill="1" applyBorder="1" applyAlignment="1">
      <alignment/>
    </xf>
    <xf numFmtId="10" fontId="28" fillId="0" borderId="85" xfId="0" applyNumberFormat="1" applyFont="1" applyBorder="1" applyAlignment="1">
      <alignment/>
    </xf>
    <xf numFmtId="166" fontId="22" fillId="6" borderId="86" xfId="15" applyNumberFormat="1" applyFont="1" applyFill="1" applyBorder="1" applyAlignment="1" quotePrefix="1">
      <alignment horizontal="center"/>
    </xf>
    <xf numFmtId="167" fontId="0" fillId="0" borderId="69" xfId="0" applyNumberFormat="1" applyFont="1" applyFill="1" applyBorder="1" applyAlignment="1">
      <alignment/>
    </xf>
    <xf numFmtId="5" fontId="28" fillId="0" borderId="85" xfId="17" applyNumberFormat="1" applyFont="1" applyBorder="1" applyAlignment="1">
      <alignment/>
    </xf>
    <xf numFmtId="166" fontId="22" fillId="6" borderId="90" xfId="15" applyNumberFormat="1" applyFont="1" applyFill="1" applyBorder="1" applyAlignment="1" quotePrefix="1">
      <alignment horizontal="center"/>
    </xf>
    <xf numFmtId="0" fontId="0" fillId="0" borderId="91" xfId="0" applyFont="1" applyBorder="1" applyAlignment="1">
      <alignment/>
    </xf>
    <xf numFmtId="5" fontId="28" fillId="0" borderId="92" xfId="17" applyNumberFormat="1" applyFont="1" applyBorder="1" applyAlignment="1">
      <alignment/>
    </xf>
    <xf numFmtId="37" fontId="0" fillId="0" borderId="41" xfId="0" applyNumberFormat="1" applyFill="1" applyBorder="1" applyAlignment="1" applyProtection="1">
      <alignment/>
      <protection/>
    </xf>
    <xf numFmtId="37" fontId="0" fillId="0" borderId="93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horizontal="center" wrapText="1"/>
    </xf>
    <xf numFmtId="185" fontId="0" fillId="0" borderId="7" xfId="0" applyNumberFormat="1" applyFont="1" applyBorder="1" applyAlignment="1">
      <alignment/>
    </xf>
    <xf numFmtId="6" fontId="28" fillId="0" borderId="94" xfId="0" applyNumberFormat="1" applyFont="1" applyBorder="1" applyAlignment="1">
      <alignment/>
    </xf>
    <xf numFmtId="3" fontId="28" fillId="0" borderId="94" xfId="0" applyNumberFormat="1" applyFont="1" applyBorder="1" applyAlignment="1">
      <alignment/>
    </xf>
    <xf numFmtId="0" fontId="0" fillId="0" borderId="95" xfId="0" applyBorder="1" applyAlignment="1">
      <alignment/>
    </xf>
    <xf numFmtId="166" fontId="22" fillId="6" borderId="96" xfId="15" applyNumberFormat="1" applyFont="1" applyFill="1" applyBorder="1" applyAlignment="1" quotePrefix="1">
      <alignment horizontal="center"/>
    </xf>
    <xf numFmtId="0" fontId="0" fillId="0" borderId="97" xfId="0" applyFont="1" applyBorder="1" applyAlignment="1">
      <alignment/>
    </xf>
    <xf numFmtId="3" fontId="0" fillId="0" borderId="98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0" fontId="0" fillId="0" borderId="101" xfId="0" applyBorder="1" applyAlignment="1">
      <alignment/>
    </xf>
    <xf numFmtId="0" fontId="28" fillId="7" borderId="43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>
      <alignment/>
    </xf>
    <xf numFmtId="167" fontId="4" fillId="7" borderId="7" xfId="0" applyNumberFormat="1" applyFont="1" applyFill="1" applyBorder="1" applyAlignment="1">
      <alignment/>
    </xf>
    <xf numFmtId="0" fontId="4" fillId="7" borderId="5" xfId="0" applyFont="1" applyFill="1" applyBorder="1" applyAlignment="1">
      <alignment/>
    </xf>
    <xf numFmtId="6" fontId="28" fillId="7" borderId="6" xfId="0" applyNumberFormat="1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/>
    </xf>
    <xf numFmtId="5" fontId="24" fillId="0" borderId="27" xfId="0" applyNumberFormat="1" applyFont="1" applyFill="1" applyBorder="1" applyAlignment="1" applyProtection="1">
      <alignment/>
      <protection/>
    </xf>
    <xf numFmtId="173" fontId="24" fillId="0" borderId="27" xfId="0" applyNumberFormat="1" applyFont="1" applyFill="1" applyBorder="1" applyAlignment="1" applyProtection="1">
      <alignment/>
      <protection/>
    </xf>
    <xf numFmtId="173" fontId="24" fillId="0" borderId="28" xfId="0" applyNumberFormat="1" applyFont="1" applyFill="1" applyBorder="1" applyAlignment="1" applyProtection="1">
      <alignment/>
      <protection/>
    </xf>
    <xf numFmtId="5" fontId="24" fillId="0" borderId="28" xfId="0" applyNumberFormat="1" applyFont="1" applyFill="1" applyBorder="1" applyAlignment="1" applyProtection="1">
      <alignment/>
      <protection/>
    </xf>
    <xf numFmtId="10" fontId="58" fillId="0" borderId="26" xfId="0" applyNumberFormat="1" applyFont="1" applyFill="1" applyBorder="1" applyAlignment="1" applyProtection="1">
      <alignment/>
      <protection/>
    </xf>
    <xf numFmtId="10" fontId="24" fillId="0" borderId="26" xfId="0" applyNumberFormat="1" applyFont="1" applyFill="1" applyBorder="1" applyAlignment="1" applyProtection="1">
      <alignment/>
      <protection/>
    </xf>
    <xf numFmtId="0" fontId="24" fillId="0" borderId="26" xfId="0" applyFont="1" applyFill="1" applyBorder="1" applyAlignment="1">
      <alignment/>
    </xf>
    <xf numFmtId="0" fontId="24" fillId="0" borderId="102" xfId="0" applyFont="1" applyFill="1" applyBorder="1" applyAlignment="1" quotePrefix="1">
      <alignment horizontal="left" vertical="center"/>
    </xf>
    <xf numFmtId="0" fontId="24" fillId="0" borderId="102" xfId="0" applyFont="1" applyFill="1" applyBorder="1" applyAlignment="1">
      <alignment horizontal="left" vertical="center"/>
    </xf>
    <xf numFmtId="5" fontId="24" fillId="0" borderId="103" xfId="0" applyNumberFormat="1" applyFont="1" applyFill="1" applyBorder="1" applyAlignment="1" applyProtection="1">
      <alignment vertical="center"/>
      <protection/>
    </xf>
    <xf numFmtId="173" fontId="24" fillId="0" borderId="103" xfId="0" applyNumberFormat="1" applyFont="1" applyFill="1" applyBorder="1" applyAlignment="1" applyProtection="1">
      <alignment vertical="center"/>
      <protection/>
    </xf>
    <xf numFmtId="173" fontId="24" fillId="0" borderId="104" xfId="0" applyNumberFormat="1" applyFont="1" applyFill="1" applyBorder="1" applyAlignment="1" applyProtection="1">
      <alignment vertical="center"/>
      <protection/>
    </xf>
    <xf numFmtId="5" fontId="24" fillId="0" borderId="104" xfId="0" applyNumberFormat="1" applyFont="1" applyFill="1" applyBorder="1" applyAlignment="1" applyProtection="1">
      <alignment vertical="center"/>
      <protection/>
    </xf>
    <xf numFmtId="10" fontId="24" fillId="0" borderId="61" xfId="0" applyNumberFormat="1" applyFont="1" applyFill="1" applyBorder="1" applyAlignment="1" applyProtection="1">
      <alignment/>
      <protection/>
    </xf>
    <xf numFmtId="5" fontId="24" fillId="0" borderId="105" xfId="0" applyNumberFormat="1" applyFont="1" applyFill="1" applyBorder="1" applyAlignment="1" applyProtection="1">
      <alignment vertical="center"/>
      <protection/>
    </xf>
    <xf numFmtId="173" fontId="24" fillId="0" borderId="105" xfId="0" applyNumberFormat="1" applyFont="1" applyFill="1" applyBorder="1" applyAlignment="1" applyProtection="1">
      <alignment vertical="center"/>
      <protection/>
    </xf>
    <xf numFmtId="173" fontId="24" fillId="0" borderId="106" xfId="0" applyNumberFormat="1" applyFont="1" applyFill="1" applyBorder="1" applyAlignment="1" applyProtection="1">
      <alignment vertical="center"/>
      <protection/>
    </xf>
    <xf numFmtId="5" fontId="24" fillId="0" borderId="106" xfId="0" applyNumberFormat="1" applyFont="1" applyFill="1" applyBorder="1" applyAlignment="1" applyProtection="1">
      <alignment vertical="center"/>
      <protection/>
    </xf>
    <xf numFmtId="5" fontId="58" fillId="0" borderId="105" xfId="0" applyNumberFormat="1" applyFont="1" applyFill="1" applyBorder="1" applyAlignment="1" applyProtection="1">
      <alignment vertical="center"/>
      <protection/>
    </xf>
    <xf numFmtId="10" fontId="58" fillId="0" borderId="106" xfId="0" applyNumberFormat="1" applyFont="1" applyFill="1" applyBorder="1" applyAlignment="1" applyProtection="1">
      <alignment/>
      <protection/>
    </xf>
    <xf numFmtId="5" fontId="24" fillId="0" borderId="40" xfId="0" applyNumberFormat="1" applyFont="1" applyFill="1" applyBorder="1" applyAlignment="1" applyProtection="1">
      <alignment/>
      <protection/>
    </xf>
    <xf numFmtId="0" fontId="24" fillId="0" borderId="26" xfId="0" applyFont="1" applyFill="1" applyBorder="1" applyAlignment="1" quotePrefix="1">
      <alignment horizontal="left"/>
    </xf>
    <xf numFmtId="5" fontId="10" fillId="0" borderId="40" xfId="0" applyNumberFormat="1" applyFont="1" applyFill="1" applyBorder="1" applyAlignment="1" applyProtection="1">
      <alignment vertical="center"/>
      <protection/>
    </xf>
    <xf numFmtId="173" fontId="10" fillId="0" borderId="40" xfId="0" applyNumberFormat="1" applyFont="1" applyFill="1" applyBorder="1" applyAlignment="1" applyProtection="1">
      <alignment vertical="center"/>
      <protection/>
    </xf>
    <xf numFmtId="173" fontId="10" fillId="0" borderId="46" xfId="0" applyNumberFormat="1" applyFont="1" applyFill="1" applyBorder="1" applyAlignment="1" applyProtection="1">
      <alignment vertical="center"/>
      <protection/>
    </xf>
    <xf numFmtId="5" fontId="10" fillId="0" borderId="46" xfId="0" applyNumberFormat="1" applyFont="1" applyFill="1" applyBorder="1" applyAlignment="1" applyProtection="1">
      <alignment vertical="center"/>
      <protection/>
    </xf>
    <xf numFmtId="5" fontId="10" fillId="0" borderId="107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 quotePrefix="1">
      <alignment horizontal="center"/>
    </xf>
    <xf numFmtId="0" fontId="8" fillId="0" borderId="58" xfId="0" applyFont="1" applyFill="1" applyBorder="1" applyAlignment="1" quotePrefix="1">
      <alignment horizontal="center"/>
    </xf>
    <xf numFmtId="0" fontId="24" fillId="7" borderId="108" xfId="0" applyFont="1" applyFill="1" applyBorder="1" applyAlignment="1">
      <alignment horizontal="left"/>
    </xf>
    <xf numFmtId="0" fontId="58" fillId="7" borderId="108" xfId="0" applyFont="1" applyFill="1" applyBorder="1" applyAlignment="1">
      <alignment/>
    </xf>
    <xf numFmtId="5" fontId="58" fillId="7" borderId="109" xfId="0" applyNumberFormat="1" applyFont="1" applyFill="1" applyBorder="1" applyAlignment="1" applyProtection="1">
      <alignment/>
      <protection/>
    </xf>
    <xf numFmtId="173" fontId="58" fillId="7" borderId="109" xfId="0" applyNumberFormat="1" applyFont="1" applyFill="1" applyBorder="1" applyAlignment="1" applyProtection="1">
      <alignment/>
      <protection/>
    </xf>
    <xf numFmtId="173" fontId="58" fillId="7" borderId="110" xfId="0" applyNumberFormat="1" applyFont="1" applyFill="1" applyBorder="1" applyAlignment="1" applyProtection="1">
      <alignment/>
      <protection/>
    </xf>
    <xf numFmtId="5" fontId="58" fillId="7" borderId="110" xfId="0" applyNumberFormat="1" applyFont="1" applyFill="1" applyBorder="1" applyAlignment="1" applyProtection="1">
      <alignment/>
      <protection/>
    </xf>
    <xf numFmtId="5" fontId="58" fillId="7" borderId="40" xfId="0" applyNumberFormat="1" applyFont="1" applyFill="1" applyBorder="1" applyAlignment="1" applyProtection="1">
      <alignment/>
      <protection/>
    </xf>
    <xf numFmtId="10" fontId="58" fillId="7" borderId="0" xfId="0" applyNumberFormat="1" applyFont="1" applyFill="1" applyBorder="1" applyAlignment="1" applyProtection="1">
      <alignment/>
      <protection/>
    </xf>
    <xf numFmtId="0" fontId="24" fillId="7" borderId="58" xfId="0" applyFont="1" applyFill="1" applyBorder="1" applyAlignment="1">
      <alignment horizontal="left"/>
    </xf>
    <xf numFmtId="0" fontId="58" fillId="7" borderId="58" xfId="0" applyFont="1" applyFill="1" applyBorder="1" applyAlignment="1">
      <alignment/>
    </xf>
    <xf numFmtId="5" fontId="24" fillId="7" borderId="60" xfId="0" applyNumberFormat="1" applyFont="1" applyFill="1" applyBorder="1" applyAlignment="1" applyProtection="1">
      <alignment/>
      <protection/>
    </xf>
    <xf numFmtId="173" fontId="24" fillId="7" borderId="60" xfId="0" applyNumberFormat="1" applyFont="1" applyFill="1" applyBorder="1" applyAlignment="1" applyProtection="1">
      <alignment/>
      <protection/>
    </xf>
    <xf numFmtId="173" fontId="24" fillId="7" borderId="61" xfId="0" applyNumberFormat="1" applyFont="1" applyFill="1" applyBorder="1" applyAlignment="1" applyProtection="1">
      <alignment/>
      <protection/>
    </xf>
    <xf numFmtId="5" fontId="24" fillId="7" borderId="61" xfId="0" applyNumberFormat="1" applyFont="1" applyFill="1" applyBorder="1" applyAlignment="1" applyProtection="1">
      <alignment/>
      <protection/>
    </xf>
    <xf numFmtId="5" fontId="24" fillId="7" borderId="103" xfId="0" applyNumberFormat="1" applyFont="1" applyFill="1" applyBorder="1" applyAlignment="1" applyProtection="1">
      <alignment vertical="center"/>
      <protection/>
    </xf>
    <xf numFmtId="10" fontId="24" fillId="7" borderId="102" xfId="0" applyNumberFormat="1" applyFont="1" applyFill="1" applyBorder="1" applyAlignment="1" applyProtection="1">
      <alignment vertical="center"/>
      <protection/>
    </xf>
    <xf numFmtId="0" fontId="24" fillId="7" borderId="102" xfId="0" applyFont="1" applyFill="1" applyBorder="1" applyAlignment="1">
      <alignment vertical="center"/>
    </xf>
    <xf numFmtId="0" fontId="24" fillId="7" borderId="102" xfId="0" applyFont="1" applyFill="1" applyBorder="1" applyAlignment="1">
      <alignment horizontal="left" vertical="center"/>
    </xf>
    <xf numFmtId="5" fontId="58" fillId="7" borderId="103" xfId="0" applyNumberFormat="1" applyFont="1" applyFill="1" applyBorder="1" applyAlignment="1" applyProtection="1">
      <alignment vertical="center"/>
      <protection/>
    </xf>
    <xf numFmtId="173" fontId="58" fillId="7" borderId="103" xfId="0" applyNumberFormat="1" applyFont="1" applyFill="1" applyBorder="1" applyAlignment="1" applyProtection="1">
      <alignment vertical="center"/>
      <protection/>
    </xf>
    <xf numFmtId="173" fontId="58" fillId="7" borderId="104" xfId="0" applyNumberFormat="1" applyFont="1" applyFill="1" applyBorder="1" applyAlignment="1" applyProtection="1">
      <alignment vertical="center"/>
      <protection/>
    </xf>
    <xf numFmtId="5" fontId="58" fillId="7" borderId="104" xfId="0" applyNumberFormat="1" applyFont="1" applyFill="1" applyBorder="1" applyAlignment="1" applyProtection="1">
      <alignment vertical="center"/>
      <protection/>
    </xf>
    <xf numFmtId="10" fontId="58" fillId="7" borderId="102" xfId="0" applyNumberFormat="1" applyFont="1" applyFill="1" applyBorder="1" applyAlignment="1" applyProtection="1">
      <alignment vertical="center"/>
      <protection/>
    </xf>
    <xf numFmtId="167" fontId="0" fillId="0" borderId="111" xfId="0" applyNumberFormat="1" applyFont="1" applyFill="1" applyBorder="1" applyAlignment="1">
      <alignment/>
    </xf>
    <xf numFmtId="0" fontId="4" fillId="5" borderId="5" xfId="0" applyFont="1" applyFill="1" applyBorder="1" applyAlignment="1" quotePrefix="1">
      <alignment horizontal="center" wrapText="1"/>
    </xf>
    <xf numFmtId="0" fontId="28" fillId="5" borderId="86" xfId="0" applyFont="1" applyFill="1" applyBorder="1" applyAlignment="1">
      <alignment horizontal="center" wrapText="1"/>
    </xf>
    <xf numFmtId="167" fontId="0" fillId="0" borderId="49" xfId="0" applyNumberFormat="1" applyFont="1" applyFill="1" applyBorder="1" applyAlignment="1">
      <alignment/>
    </xf>
    <xf numFmtId="167" fontId="0" fillId="0" borderId="48" xfId="0" applyNumberFormat="1" applyFont="1" applyFill="1" applyBorder="1" applyAlignment="1">
      <alignment/>
    </xf>
    <xf numFmtId="5" fontId="28" fillId="0" borderId="50" xfId="17" applyNumberFormat="1" applyFont="1" applyBorder="1" applyAlignment="1">
      <alignment/>
    </xf>
    <xf numFmtId="0" fontId="33" fillId="5" borderId="86" xfId="0" applyFont="1" applyFill="1" applyBorder="1" applyAlignment="1">
      <alignment horizontal="center" wrapText="1"/>
    </xf>
    <xf numFmtId="9" fontId="0" fillId="0" borderId="49" xfId="0" applyNumberFormat="1" applyFont="1" applyBorder="1" applyAlignment="1">
      <alignment/>
    </xf>
    <xf numFmtId="196" fontId="0" fillId="0" borderId="49" xfId="21" applyNumberFormat="1" applyFont="1" applyFill="1" applyBorder="1" applyAlignment="1">
      <alignment/>
    </xf>
    <xf numFmtId="196" fontId="0" fillId="0" borderId="48" xfId="21" applyNumberFormat="1" applyFont="1" applyFill="1" applyBorder="1" applyAlignment="1">
      <alignment/>
    </xf>
    <xf numFmtId="0" fontId="21" fillId="5" borderId="88" xfId="0" applyFont="1" applyFill="1" applyBorder="1" applyAlignment="1">
      <alignment horizontal="center" wrapText="1"/>
    </xf>
    <xf numFmtId="167" fontId="0" fillId="0" borderId="69" xfId="0" applyNumberFormat="1" applyFont="1" applyBorder="1" applyAlignment="1">
      <alignment/>
    </xf>
    <xf numFmtId="167" fontId="0" fillId="0" borderId="84" xfId="0" applyNumberFormat="1" applyFont="1" applyBorder="1" applyAlignment="1">
      <alignment/>
    </xf>
    <xf numFmtId="167" fontId="0" fillId="0" borderId="91" xfId="0" applyNumberFormat="1" applyFont="1" applyBorder="1" applyAlignment="1">
      <alignment/>
    </xf>
    <xf numFmtId="167" fontId="0" fillId="0" borderId="112" xfId="0" applyNumberFormat="1" applyFont="1" applyBorder="1" applyAlignment="1">
      <alignment/>
    </xf>
    <xf numFmtId="0" fontId="25" fillId="5" borderId="86" xfId="0" applyFont="1" applyFill="1" applyBorder="1" applyAlignment="1">
      <alignment horizontal="center" wrapText="1"/>
    </xf>
    <xf numFmtId="4" fontId="0" fillId="0" borderId="49" xfId="15" applyNumberFormat="1" applyFont="1" applyBorder="1" applyAlignment="1">
      <alignment/>
    </xf>
    <xf numFmtId="4" fontId="0" fillId="0" borderId="48" xfId="15" applyNumberFormat="1" applyFont="1" applyBorder="1" applyAlignment="1">
      <alignment/>
    </xf>
    <xf numFmtId="43" fontId="0" fillId="0" borderId="49" xfId="15" applyFont="1" applyBorder="1" applyAlignment="1">
      <alignment/>
    </xf>
    <xf numFmtId="43" fontId="28" fillId="0" borderId="50" xfId="15" applyFont="1" applyBorder="1" applyAlignment="1">
      <alignment/>
    </xf>
    <xf numFmtId="166" fontId="22" fillId="6" borderId="113" xfId="15" applyNumberFormat="1" applyFont="1" applyFill="1" applyBorder="1" applyAlignment="1" quotePrefix="1">
      <alignment horizontal="center"/>
    </xf>
    <xf numFmtId="0" fontId="0" fillId="0" borderId="114" xfId="0" applyFont="1" applyBorder="1" applyAlignment="1">
      <alignment/>
    </xf>
    <xf numFmtId="167" fontId="0" fillId="0" borderId="114" xfId="0" applyNumberFormat="1" applyFont="1" applyBorder="1" applyAlignment="1">
      <alignment/>
    </xf>
    <xf numFmtId="167" fontId="0" fillId="0" borderId="115" xfId="0" applyNumberFormat="1" applyFont="1" applyBorder="1" applyAlignment="1">
      <alignment/>
    </xf>
    <xf numFmtId="6" fontId="0" fillId="0" borderId="114" xfId="0" applyNumberFormat="1" applyFont="1" applyBorder="1" applyAlignment="1">
      <alignment/>
    </xf>
    <xf numFmtId="5" fontId="28" fillId="0" borderId="116" xfId="17" applyNumberFormat="1" applyFont="1" applyBorder="1" applyAlignment="1">
      <alignment/>
    </xf>
    <xf numFmtId="6" fontId="28" fillId="0" borderId="6" xfId="0" applyNumberFormat="1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48" fillId="0" borderId="0" xfId="0" applyFont="1" applyAlignment="1" quotePrefix="1">
      <alignment horizontal="left"/>
    </xf>
    <xf numFmtId="0" fontId="28" fillId="0" borderId="0" xfId="0" applyFont="1" applyBorder="1" applyAlignment="1">
      <alignment/>
    </xf>
    <xf numFmtId="37" fontId="28" fillId="0" borderId="0" xfId="15" applyNumberFormat="1" applyFont="1" applyBorder="1" applyAlignment="1">
      <alignment/>
    </xf>
    <xf numFmtId="8" fontId="28" fillId="0" borderId="0" xfId="0" applyNumberFormat="1" applyFont="1" applyBorder="1" applyAlignment="1">
      <alignment/>
    </xf>
    <xf numFmtId="6" fontId="28" fillId="0" borderId="0" xfId="0" applyNumberFormat="1" applyFont="1" applyBorder="1" applyAlignment="1">
      <alignment/>
    </xf>
    <xf numFmtId="6" fontId="28" fillId="12" borderId="0" xfId="0" applyNumberFormat="1" applyFont="1" applyFill="1" applyBorder="1" applyAlignment="1">
      <alignment/>
    </xf>
    <xf numFmtId="6" fontId="28" fillId="0" borderId="0" xfId="0" applyNumberFormat="1" applyFont="1" applyBorder="1" applyAlignment="1" quotePrefix="1">
      <alignment horizontal="right"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1" fontId="0" fillId="0" borderId="0" xfId="0" applyNumberFormat="1" applyBorder="1" applyAlignment="1">
      <alignment/>
    </xf>
    <xf numFmtId="3" fontId="0" fillId="0" borderId="95" xfId="0" applyNumberFormat="1" applyBorder="1" applyAlignment="1">
      <alignment/>
    </xf>
    <xf numFmtId="0" fontId="0" fillId="0" borderId="119" xfId="0" applyBorder="1" applyAlignment="1">
      <alignment/>
    </xf>
    <xf numFmtId="0" fontId="0" fillId="0" borderId="58" xfId="0" applyBorder="1" applyAlignment="1">
      <alignment/>
    </xf>
    <xf numFmtId="0" fontId="0" fillId="0" borderId="120" xfId="0" applyBorder="1" applyAlignment="1">
      <alignment/>
    </xf>
    <xf numFmtId="0" fontId="4" fillId="0" borderId="121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9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38" fontId="0" fillId="0" borderId="0" xfId="0" applyNumberFormat="1" applyFont="1" applyAlignment="1">
      <alignment/>
    </xf>
    <xf numFmtId="0" fontId="0" fillId="0" borderId="8" xfId="0" applyFont="1" applyBorder="1" applyAlignment="1" quotePrefix="1">
      <alignment horizontal="left"/>
    </xf>
    <xf numFmtId="0" fontId="0" fillId="0" borderId="8" xfId="0" applyFont="1" applyBorder="1" applyAlignment="1">
      <alignment/>
    </xf>
    <xf numFmtId="0" fontId="48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37" fontId="0" fillId="12" borderId="8" xfId="0" applyNumberFormat="1" applyFill="1" applyBorder="1" applyAlignment="1">
      <alignment/>
    </xf>
    <xf numFmtId="0" fontId="24" fillId="7" borderId="123" xfId="0" applyFont="1" applyFill="1" applyBorder="1" applyAlignment="1" quotePrefix="1">
      <alignment horizontal="center"/>
    </xf>
    <xf numFmtId="0" fontId="58" fillId="7" borderId="57" xfId="0" applyFont="1" applyFill="1" applyBorder="1" applyAlignment="1">
      <alignment/>
    </xf>
    <xf numFmtId="0" fontId="24" fillId="7" borderId="124" xfId="0" applyFont="1" applyFill="1" applyBorder="1" applyAlignment="1" quotePrefix="1">
      <alignment horizontal="center" vertical="center"/>
    </xf>
    <xf numFmtId="0" fontId="24" fillId="7" borderId="102" xfId="0" applyFont="1" applyFill="1" applyBorder="1" applyAlignment="1" quotePrefix="1">
      <alignment horizontal="left" vertical="center"/>
    </xf>
    <xf numFmtId="0" fontId="19" fillId="7" borderId="13" xfId="0" applyFont="1" applyFill="1" applyBorder="1" applyAlignment="1" quotePrefix="1">
      <alignment horizontal="center"/>
    </xf>
    <xf numFmtId="0" fontId="19" fillId="7" borderId="26" xfId="0" applyFont="1" applyFill="1" applyBorder="1" applyAlignment="1" quotePrefix="1">
      <alignment horizontal="left"/>
    </xf>
    <xf numFmtId="0" fontId="19" fillId="7" borderId="26" xfId="0" applyFont="1" applyFill="1" applyBorder="1" applyAlignment="1">
      <alignment horizontal="left"/>
    </xf>
    <xf numFmtId="0" fontId="19" fillId="0" borderId="13" xfId="0" applyFont="1" applyFill="1" applyBorder="1" applyAlignment="1" quotePrefix="1">
      <alignment horizontal="center"/>
    </xf>
    <xf numFmtId="0" fontId="24" fillId="0" borderId="13" xfId="0" applyFont="1" applyFill="1" applyBorder="1" applyAlignment="1" quotePrefix="1">
      <alignment horizontal="center"/>
    </xf>
    <xf numFmtId="0" fontId="24" fillId="0" borderId="124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/>
    </xf>
    <xf numFmtId="0" fontId="24" fillId="7" borderId="0" xfId="0" applyFont="1" applyFill="1" applyBorder="1" applyAlignment="1">
      <alignment horizontal="left"/>
    </xf>
    <xf numFmtId="0" fontId="58" fillId="7" borderId="0" xfId="0" applyFont="1" applyFill="1" applyBorder="1" applyAlignment="1">
      <alignment/>
    </xf>
    <xf numFmtId="5" fontId="24" fillId="7" borderId="40" xfId="0" applyNumberFormat="1" applyFont="1" applyFill="1" applyBorder="1" applyAlignment="1" applyProtection="1">
      <alignment/>
      <protection/>
    </xf>
    <xf numFmtId="173" fontId="24" fillId="7" borderId="40" xfId="0" applyNumberFormat="1" applyFont="1" applyFill="1" applyBorder="1" applyAlignment="1" applyProtection="1">
      <alignment/>
      <protection/>
    </xf>
    <xf numFmtId="173" fontId="24" fillId="7" borderId="46" xfId="0" applyNumberFormat="1" applyFont="1" applyFill="1" applyBorder="1" applyAlignment="1" applyProtection="1">
      <alignment/>
      <protection/>
    </xf>
    <xf numFmtId="5" fontId="24" fillId="7" borderId="46" xfId="0" applyNumberFormat="1" applyFont="1" applyFill="1" applyBorder="1" applyAlignment="1" applyProtection="1">
      <alignment/>
      <protection/>
    </xf>
    <xf numFmtId="5" fontId="8" fillId="7" borderId="14" xfId="0" applyNumberFormat="1" applyFont="1" applyFill="1" applyBorder="1" applyAlignment="1" applyProtection="1">
      <alignment/>
      <protection/>
    </xf>
    <xf numFmtId="10" fontId="58" fillId="7" borderId="58" xfId="0" applyNumberFormat="1" applyFont="1" applyFill="1" applyBorder="1" applyAlignment="1" applyProtection="1">
      <alignment/>
      <protection/>
    </xf>
    <xf numFmtId="10" fontId="58" fillId="7" borderId="46" xfId="0" applyNumberFormat="1" applyFont="1" applyFill="1" applyBorder="1" applyAlignment="1" applyProtection="1">
      <alignment/>
      <protection/>
    </xf>
    <xf numFmtId="0" fontId="28" fillId="5" borderId="1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5" fontId="0" fillId="0" borderId="79" xfId="0" applyNumberFormat="1" applyFont="1" applyFill="1" applyBorder="1" applyAlignment="1" applyProtection="1">
      <alignment/>
      <protection/>
    </xf>
    <xf numFmtId="5" fontId="19" fillId="7" borderId="27" xfId="0" applyNumberFormat="1" applyFont="1" applyFill="1" applyBorder="1" applyAlignment="1" applyProtection="1">
      <alignment/>
      <protection/>
    </xf>
    <xf numFmtId="10" fontId="10" fillId="7" borderId="26" xfId="0" applyNumberFormat="1" applyFont="1" applyFill="1" applyBorder="1" applyAlignment="1" applyProtection="1">
      <alignment/>
      <protection/>
    </xf>
    <xf numFmtId="5" fontId="8" fillId="7" borderId="30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>
      <alignment horizontal="center"/>
    </xf>
    <xf numFmtId="3" fontId="0" fillId="0" borderId="5" xfId="15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7" xfId="15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/>
    </xf>
    <xf numFmtId="3" fontId="28" fillId="0" borderId="6" xfId="0" applyNumberFormat="1" applyFont="1" applyFill="1" applyBorder="1" applyAlignment="1">
      <alignment/>
    </xf>
    <xf numFmtId="166" fontId="28" fillId="0" borderId="6" xfId="15" applyNumberFormat="1" applyFont="1" applyFill="1" applyBorder="1" applyAlignment="1">
      <alignment/>
    </xf>
    <xf numFmtId="167" fontId="28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7" fontId="3" fillId="0" borderId="0" xfId="17" applyNumberFormat="1" applyFont="1" applyFill="1" applyAlignment="1">
      <alignment horizontal="center"/>
    </xf>
    <xf numFmtId="7" fontId="3" fillId="0" borderId="0" xfId="17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166" fontId="4" fillId="0" borderId="1" xfId="15" applyNumberFormat="1" applyFont="1" applyFill="1" applyBorder="1" applyAlignment="1" applyProtection="1">
      <alignment/>
      <protection/>
    </xf>
    <xf numFmtId="5" fontId="56" fillId="0" borderId="1" xfId="0" applyNumberFormat="1" applyFont="1" applyFill="1" applyBorder="1" applyAlignment="1" applyProtection="1">
      <alignment/>
      <protection/>
    </xf>
    <xf numFmtId="165" fontId="0" fillId="0" borderId="1" xfId="15" applyNumberFormat="1" applyFont="1" applyFill="1" applyBorder="1" applyAlignment="1" applyProtection="1">
      <alignment/>
      <protection/>
    </xf>
    <xf numFmtId="37" fontId="0" fillId="0" borderId="1" xfId="15" applyNumberFormat="1" applyFont="1" applyFill="1" applyBorder="1" applyAlignment="1" applyProtection="1">
      <alignment/>
      <protection/>
    </xf>
    <xf numFmtId="166" fontId="4" fillId="0" borderId="79" xfId="15" applyNumberFormat="1" applyFont="1" applyFill="1" applyBorder="1" applyAlignment="1" applyProtection="1">
      <alignment/>
      <protection/>
    </xf>
    <xf numFmtId="5" fontId="56" fillId="0" borderId="79" xfId="0" applyNumberFormat="1" applyFont="1" applyFill="1" applyBorder="1" applyAlignment="1" applyProtection="1">
      <alignment/>
      <protection/>
    </xf>
    <xf numFmtId="6" fontId="0" fillId="0" borderId="3" xfId="15" applyNumberFormat="1" applyFont="1" applyFill="1" applyBorder="1" applyAlignment="1" applyProtection="1">
      <alignment/>
      <protection/>
    </xf>
    <xf numFmtId="165" fontId="0" fillId="0" borderId="3" xfId="15" applyNumberFormat="1" applyFont="1" applyFill="1" applyBorder="1" applyAlignment="1" applyProtection="1">
      <alignment/>
      <protection/>
    </xf>
    <xf numFmtId="8" fontId="0" fillId="0" borderId="3" xfId="15" applyNumberFormat="1" applyFont="1" applyFill="1" applyBorder="1" applyAlignment="1" applyProtection="1">
      <alignment/>
      <protection/>
    </xf>
    <xf numFmtId="37" fontId="0" fillId="0" borderId="3" xfId="15" applyNumberFormat="1" applyFont="1" applyFill="1" applyBorder="1" applyAlignment="1" applyProtection="1">
      <alignment/>
      <protection/>
    </xf>
    <xf numFmtId="37" fontId="0" fillId="0" borderId="79" xfId="15" applyNumberFormat="1" applyFont="1" applyFill="1" applyBorder="1" applyAlignment="1" applyProtection="1">
      <alignment/>
      <protection/>
    </xf>
    <xf numFmtId="167" fontId="0" fillId="0" borderId="3" xfId="15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28" fillId="0" borderId="2" xfId="0" applyFont="1" applyFill="1" applyBorder="1" applyAlignment="1" applyProtection="1">
      <alignment horizontal="center"/>
      <protection/>
    </xf>
    <xf numFmtId="5" fontId="28" fillId="0" borderId="2" xfId="0" applyNumberFormat="1" applyFont="1" applyFill="1" applyBorder="1" applyAlignment="1" applyProtection="1">
      <alignment/>
      <protection/>
    </xf>
    <xf numFmtId="166" fontId="4" fillId="0" borderId="125" xfId="15" applyNumberFormat="1" applyFont="1" applyFill="1" applyBorder="1" applyAlignment="1" applyProtection="1">
      <alignment/>
      <protection/>
    </xf>
    <xf numFmtId="5" fontId="56" fillId="0" borderId="2" xfId="0" applyNumberFormat="1" applyFont="1" applyFill="1" applyBorder="1" applyAlignment="1" applyProtection="1">
      <alignment/>
      <protection/>
    </xf>
    <xf numFmtId="166" fontId="28" fillId="0" borderId="2" xfId="15" applyNumberFormat="1" applyFont="1" applyFill="1" applyBorder="1" applyAlignment="1" applyProtection="1">
      <alignment/>
      <protection/>
    </xf>
    <xf numFmtId="6" fontId="28" fillId="0" borderId="2" xfId="15" applyNumberFormat="1" applyFont="1" applyFill="1" applyBorder="1" applyAlignment="1" applyProtection="1">
      <alignment/>
      <protection/>
    </xf>
    <xf numFmtId="165" fontId="28" fillId="0" borderId="2" xfId="15" applyNumberFormat="1" applyFont="1" applyFill="1" applyBorder="1" applyAlignment="1" applyProtection="1">
      <alignment/>
      <protection/>
    </xf>
    <xf numFmtId="8" fontId="28" fillId="0" borderId="2" xfId="15" applyNumberFormat="1" applyFont="1" applyFill="1" applyBorder="1" applyAlignment="1" applyProtection="1">
      <alignment/>
      <protection/>
    </xf>
    <xf numFmtId="0" fontId="30" fillId="5" borderId="68" xfId="0" applyFont="1" applyFill="1" applyBorder="1" applyAlignment="1" quotePrefix="1">
      <alignment horizontal="center"/>
    </xf>
    <xf numFmtId="0" fontId="30" fillId="5" borderId="68" xfId="0" applyFont="1" applyFill="1" applyBorder="1" applyAlignment="1">
      <alignment horizontal="center"/>
    </xf>
    <xf numFmtId="0" fontId="28" fillId="5" borderId="5" xfId="0" applyFont="1" applyFill="1" applyBorder="1" applyAlignment="1" quotePrefix="1">
      <alignment horizontal="center" wrapText="1"/>
    </xf>
    <xf numFmtId="167" fontId="25" fillId="5" borderId="7" xfId="0" applyNumberFormat="1" applyFont="1" applyFill="1" applyBorder="1" applyAlignment="1">
      <alignment horizontal="center" wrapText="1"/>
    </xf>
    <xf numFmtId="6" fontId="0" fillId="0" borderId="5" xfId="0" applyNumberFormat="1" applyFill="1" applyBorder="1" applyAlignment="1">
      <alignment/>
    </xf>
    <xf numFmtId="6" fontId="48" fillId="0" borderId="7" xfId="0" applyNumberFormat="1" applyFont="1" applyFill="1" applyBorder="1" applyAlignment="1">
      <alignment/>
    </xf>
    <xf numFmtId="6" fontId="0" fillId="0" borderId="4" xfId="0" applyNumberFormat="1" applyFill="1" applyBorder="1" applyAlignment="1">
      <alignment/>
    </xf>
    <xf numFmtId="6" fontId="28" fillId="0" borderId="0" xfId="0" applyNumberFormat="1" applyFont="1" applyFill="1" applyBorder="1" applyAlignment="1">
      <alignment/>
    </xf>
    <xf numFmtId="0" fontId="48" fillId="0" borderId="68" xfId="0" applyFont="1" applyFill="1" applyBorder="1" applyAlignment="1">
      <alignment/>
    </xf>
    <xf numFmtId="0" fontId="48" fillId="0" borderId="126" xfId="0" applyFont="1" applyFill="1" applyBorder="1" applyAlignment="1">
      <alignment/>
    </xf>
    <xf numFmtId="0" fontId="48" fillId="0" borderId="88" xfId="0" applyFont="1" applyFill="1" applyBorder="1" applyAlignment="1">
      <alignment/>
    </xf>
    <xf numFmtId="0" fontId="53" fillId="0" borderId="49" xfId="0" applyFont="1" applyFill="1" applyBorder="1" applyAlignment="1" quotePrefix="1">
      <alignment horizontal="left"/>
    </xf>
    <xf numFmtId="0" fontId="48" fillId="0" borderId="0" xfId="0" applyFont="1" applyFill="1" applyBorder="1" applyAlignment="1">
      <alignment/>
    </xf>
    <xf numFmtId="0" fontId="48" fillId="0" borderId="69" xfId="0" applyFont="1" applyFill="1" applyBorder="1" applyAlignment="1">
      <alignment/>
    </xf>
    <xf numFmtId="0" fontId="48" fillId="0" borderId="49" xfId="0" applyFont="1" applyFill="1" applyBorder="1" applyAlignment="1" quotePrefix="1">
      <alignment horizontal="left"/>
    </xf>
    <xf numFmtId="0" fontId="48" fillId="0" borderId="49" xfId="0" applyFont="1" applyFill="1" applyBorder="1" applyAlignment="1">
      <alignment/>
    </xf>
    <xf numFmtId="0" fontId="48" fillId="0" borderId="48" xfId="0" applyFont="1" applyFill="1" applyBorder="1" applyAlignment="1">
      <alignment/>
    </xf>
    <xf numFmtId="0" fontId="48" fillId="0" borderId="8" xfId="0" applyFont="1" applyFill="1" applyBorder="1" applyAlignment="1">
      <alignment/>
    </xf>
    <xf numFmtId="0" fontId="48" fillId="0" borderId="84" xfId="0" applyFont="1" applyFill="1" applyBorder="1" applyAlignment="1">
      <alignment/>
    </xf>
    <xf numFmtId="0" fontId="25" fillId="5" borderId="5" xfId="0" applyFont="1" applyFill="1" applyBorder="1" applyAlignment="1" quotePrefix="1">
      <alignment horizontal="center" wrapText="1"/>
    </xf>
    <xf numFmtId="0" fontId="31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24" fillId="0" borderId="127" xfId="0" applyFont="1" applyFill="1" applyBorder="1" applyAlignment="1">
      <alignment horizontal="center"/>
    </xf>
    <xf numFmtId="0" fontId="59" fillId="0" borderId="0" xfId="0" applyFont="1" applyAlignment="1">
      <alignment/>
    </xf>
    <xf numFmtId="6" fontId="0" fillId="0" borderId="79" xfId="0" applyNumberFormat="1" applyFont="1" applyFill="1" applyBorder="1" applyAlignment="1" applyProtection="1">
      <alignment/>
      <protection/>
    </xf>
    <xf numFmtId="0" fontId="47" fillId="0" borderId="43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quotePrefix="1">
      <alignment horizontal="center" vertical="center"/>
    </xf>
    <xf numFmtId="6" fontId="3" fillId="0" borderId="43" xfId="0" applyNumberFormat="1" applyFont="1" applyFill="1" applyBorder="1" applyAlignment="1" quotePrefix="1">
      <alignment horizontal="center" vertical="center"/>
    </xf>
    <xf numFmtId="0" fontId="47" fillId="0" borderId="43" xfId="0" applyFont="1" applyBorder="1" applyAlignment="1">
      <alignment horizontal="center" vertical="center" wrapText="1"/>
    </xf>
    <xf numFmtId="0" fontId="47" fillId="0" borderId="87" xfId="0" applyFont="1" applyBorder="1" applyAlignment="1">
      <alignment horizontal="center" vertical="center" wrapText="1"/>
    </xf>
    <xf numFmtId="0" fontId="28" fillId="5" borderId="87" xfId="0" applyFont="1" applyFill="1" applyBorder="1" applyAlignment="1" quotePrefix="1">
      <alignment horizontal="center" vertical="center" wrapText="1"/>
    </xf>
    <xf numFmtId="0" fontId="0" fillId="0" borderId="88" xfId="0" applyFont="1" applyBorder="1" applyAlignment="1">
      <alignment/>
    </xf>
    <xf numFmtId="6" fontId="28" fillId="0" borderId="85" xfId="0" applyNumberFormat="1" applyFont="1" applyBorder="1" applyAlignment="1">
      <alignment/>
    </xf>
    <xf numFmtId="0" fontId="49" fillId="0" borderId="43" xfId="0" applyFont="1" applyBorder="1" applyAlignment="1" quotePrefix="1">
      <alignment horizontal="center" vertical="center" wrapText="1"/>
    </xf>
    <xf numFmtId="0" fontId="47" fillId="0" borderId="43" xfId="0" applyFont="1" applyBorder="1" applyAlignment="1" quotePrefix="1">
      <alignment horizontal="center" vertical="center" wrapText="1"/>
    </xf>
    <xf numFmtId="0" fontId="47" fillId="0" borderId="87" xfId="0" applyFont="1" applyBorder="1" applyAlignment="1" quotePrefix="1">
      <alignment horizontal="center" vertical="center" wrapText="1"/>
    </xf>
    <xf numFmtId="2" fontId="0" fillId="0" borderId="69" xfId="0" applyNumberFormat="1" applyFont="1" applyFill="1" applyBorder="1" applyAlignment="1">
      <alignment/>
    </xf>
    <xf numFmtId="2" fontId="0" fillId="0" borderId="84" xfId="0" applyNumberFormat="1" applyFont="1" applyFill="1" applyBorder="1" applyAlignment="1">
      <alignment/>
    </xf>
    <xf numFmtId="2" fontId="0" fillId="0" borderId="69" xfId="0" applyNumberFormat="1" applyFont="1" applyBorder="1" applyAlignment="1">
      <alignment/>
    </xf>
    <xf numFmtId="2" fontId="28" fillId="0" borderId="85" xfId="0" applyNumberFormat="1" applyFont="1" applyBorder="1" applyAlignment="1">
      <alignment/>
    </xf>
    <xf numFmtId="0" fontId="47" fillId="0" borderId="0" xfId="0" applyFont="1" applyBorder="1" applyAlignment="1" quotePrefix="1">
      <alignment horizontal="center" vertical="center" wrapText="1"/>
    </xf>
    <xf numFmtId="166" fontId="22" fillId="6" borderId="128" xfId="15" applyNumberFormat="1" applyFont="1" applyFill="1" applyBorder="1" applyAlignment="1" quotePrefix="1">
      <alignment horizontal="center"/>
    </xf>
    <xf numFmtId="0" fontId="0" fillId="0" borderId="95" xfId="0" applyFont="1" applyBorder="1" applyAlignment="1">
      <alignment/>
    </xf>
    <xf numFmtId="167" fontId="0" fillId="0" borderId="95" xfId="0" applyNumberFormat="1" applyFont="1" applyFill="1" applyBorder="1" applyAlignment="1">
      <alignment/>
    </xf>
    <xf numFmtId="5" fontId="28" fillId="0" borderId="129" xfId="17" applyNumberFormat="1" applyFont="1" applyBorder="1" applyAlignment="1">
      <alignment/>
    </xf>
    <xf numFmtId="6" fontId="28" fillId="0" borderId="130" xfId="0" applyNumberFormat="1" applyFont="1" applyBorder="1" applyAlignment="1">
      <alignment/>
    </xf>
    <xf numFmtId="167" fontId="0" fillId="0" borderId="99" xfId="0" applyNumberFormat="1" applyFont="1" applyFill="1" applyBorder="1" applyAlignment="1">
      <alignment/>
    </xf>
    <xf numFmtId="0" fontId="28" fillId="2" borderId="0" xfId="0" applyFont="1" applyFill="1" applyBorder="1" applyAlignment="1" applyProtection="1">
      <alignment horizontal="center"/>
      <protection/>
    </xf>
    <xf numFmtId="5" fontId="28" fillId="3" borderId="0" xfId="0" applyNumberFormat="1" applyFont="1" applyFill="1" applyBorder="1" applyAlignment="1" applyProtection="1">
      <alignment/>
      <protection/>
    </xf>
    <xf numFmtId="5" fontId="28" fillId="2" borderId="0" xfId="0" applyNumberFormat="1" applyFont="1" applyFill="1" applyBorder="1" applyAlignment="1" applyProtection="1">
      <alignment/>
      <protection/>
    </xf>
    <xf numFmtId="5" fontId="25" fillId="3" borderId="0" xfId="0" applyNumberFormat="1" applyFont="1" applyFill="1" applyBorder="1" applyAlignment="1" applyProtection="1">
      <alignment/>
      <protection/>
    </xf>
    <xf numFmtId="0" fontId="0" fillId="0" borderId="51" xfId="0" applyFill="1" applyBorder="1" applyAlignment="1">
      <alignment wrapText="1"/>
    </xf>
    <xf numFmtId="0" fontId="4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6" borderId="43" xfId="0" applyFill="1" applyBorder="1" applyAlignment="1">
      <alignment/>
    </xf>
    <xf numFmtId="167" fontId="61" fillId="5" borderId="7" xfId="0" applyNumberFormat="1" applyFont="1" applyFill="1" applyBorder="1" applyAlignment="1">
      <alignment horizontal="center" wrapText="1"/>
    </xf>
    <xf numFmtId="5" fontId="28" fillId="0" borderId="76" xfId="0" applyNumberFormat="1" applyFont="1" applyFill="1" applyBorder="1" applyAlignment="1" applyProtection="1">
      <alignment/>
      <protection/>
    </xf>
    <xf numFmtId="5" fontId="4" fillId="0" borderId="131" xfId="0" applyNumberFormat="1" applyFont="1" applyFill="1" applyBorder="1" applyAlignment="1" applyProtection="1">
      <alignment/>
      <protection/>
    </xf>
    <xf numFmtId="5" fontId="28" fillId="0" borderId="132" xfId="0" applyNumberFormat="1" applyFont="1" applyFill="1" applyBorder="1" applyAlignment="1" applyProtection="1">
      <alignment/>
      <protection/>
    </xf>
    <xf numFmtId="37" fontId="0" fillId="0" borderId="133" xfId="0" applyNumberFormat="1" applyFill="1" applyBorder="1" applyAlignment="1" applyProtection="1">
      <alignment/>
      <protection/>
    </xf>
    <xf numFmtId="37" fontId="0" fillId="0" borderId="134" xfId="0" applyNumberFormat="1" applyFill="1" applyBorder="1" applyAlignment="1" applyProtection="1">
      <alignment/>
      <protection/>
    </xf>
    <xf numFmtId="37" fontId="0" fillId="0" borderId="135" xfId="0" applyNumberFormat="1" applyFill="1" applyBorder="1" applyAlignment="1" applyProtection="1">
      <alignment/>
      <protection/>
    </xf>
    <xf numFmtId="37" fontId="0" fillId="0" borderId="88" xfId="0" applyNumberFormat="1" applyFill="1" applyBorder="1" applyAlignment="1" applyProtection="1">
      <alignment/>
      <protection/>
    </xf>
    <xf numFmtId="37" fontId="0" fillId="0" borderId="69" xfId="0" applyNumberFormat="1" applyFill="1" applyBorder="1" applyAlignment="1" applyProtection="1">
      <alignment/>
      <protection/>
    </xf>
    <xf numFmtId="37" fontId="0" fillId="0" borderId="84" xfId="0" applyNumberFormat="1" applyFill="1" applyBorder="1" applyAlignment="1" applyProtection="1">
      <alignment/>
      <protection/>
    </xf>
    <xf numFmtId="0" fontId="0" fillId="5" borderId="8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37" fontId="0" fillId="0" borderId="4" xfId="0" applyNumberFormat="1" applyFill="1" applyBorder="1" applyAlignment="1" applyProtection="1">
      <alignment/>
      <protection/>
    </xf>
    <xf numFmtId="37" fontId="0" fillId="0" borderId="5" xfId="0" applyNumberFormat="1" applyFill="1" applyBorder="1" applyAlignment="1" applyProtection="1">
      <alignment/>
      <protection/>
    </xf>
    <xf numFmtId="37" fontId="0" fillId="0" borderId="7" xfId="0" applyNumberFormat="1" applyFill="1" applyBorder="1" applyAlignment="1" applyProtection="1">
      <alignment/>
      <protection/>
    </xf>
    <xf numFmtId="0" fontId="0" fillId="5" borderId="7" xfId="0" applyFill="1" applyBorder="1" applyAlignment="1">
      <alignment horizontal="center"/>
    </xf>
    <xf numFmtId="37" fontId="0" fillId="0" borderId="136" xfId="0" applyNumberFormat="1" applyBorder="1" applyAlignment="1" applyProtection="1">
      <alignment/>
      <protection/>
    </xf>
    <xf numFmtId="37" fontId="0" fillId="0" borderId="137" xfId="0" applyNumberFormat="1" applyBorder="1" applyAlignment="1" applyProtection="1">
      <alignment/>
      <protection/>
    </xf>
    <xf numFmtId="37" fontId="0" fillId="0" borderId="138" xfId="0" applyNumberFormat="1" applyBorder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4" fillId="11" borderId="126" xfId="0" applyFont="1" applyFill="1" applyBorder="1" applyAlignment="1" quotePrefix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69" xfId="0" applyFont="1" applyFill="1" applyBorder="1" applyAlignment="1">
      <alignment horizontal="center"/>
    </xf>
    <xf numFmtId="166" fontId="0" fillId="0" borderId="69" xfId="15" applyNumberFormat="1" applyFill="1" applyBorder="1" applyAlignment="1">
      <alignment/>
    </xf>
    <xf numFmtId="166" fontId="0" fillId="0" borderId="84" xfId="15" applyNumberFormat="1" applyFill="1" applyBorder="1" applyAlignment="1">
      <alignment/>
    </xf>
    <xf numFmtId="0" fontId="1" fillId="0" borderId="69" xfId="0" applyFont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0" xfId="0" applyFill="1" applyBorder="1" applyAlignment="1">
      <alignment wrapText="1"/>
    </xf>
    <xf numFmtId="166" fontId="4" fillId="0" borderId="85" xfId="15" applyNumberFormat="1" applyFont="1" applyFill="1" applyBorder="1" applyAlignment="1">
      <alignment/>
    </xf>
    <xf numFmtId="37" fontId="55" fillId="0" borderId="6" xfId="0" applyNumberFormat="1" applyFont="1" applyBorder="1" applyAlignment="1" applyProtection="1">
      <alignment/>
      <protection/>
    </xf>
    <xf numFmtId="0" fontId="24" fillId="0" borderId="45" xfId="0" applyFont="1" applyFill="1" applyBorder="1" applyAlignment="1">
      <alignment horizont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top" wrapText="1"/>
    </xf>
    <xf numFmtId="6" fontId="0" fillId="0" borderId="69" xfId="0" applyNumberFormat="1" applyFont="1" applyFill="1" applyBorder="1" applyAlignment="1">
      <alignment/>
    </xf>
    <xf numFmtId="6" fontId="0" fillId="0" borderId="84" xfId="0" applyNumberFormat="1" applyFont="1" applyFill="1" applyBorder="1" applyAlignment="1">
      <alignment/>
    </xf>
    <xf numFmtId="0" fontId="24" fillId="0" borderId="139" xfId="0" applyFont="1" applyFill="1" applyBorder="1" applyAlignment="1" quotePrefix="1">
      <alignment horizontal="center"/>
    </xf>
    <xf numFmtId="0" fontId="24" fillId="0" borderId="140" xfId="0" applyFont="1" applyFill="1" applyBorder="1" applyAlignment="1">
      <alignment horizontal="left"/>
    </xf>
    <xf numFmtId="0" fontId="24" fillId="0" borderId="141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/>
    </xf>
    <xf numFmtId="0" fontId="47" fillId="0" borderId="7" xfId="0" applyFont="1" applyBorder="1" applyAlignment="1">
      <alignment horizontal="center" vertical="center" wrapText="1"/>
    </xf>
    <xf numFmtId="0" fontId="48" fillId="0" borderId="95" xfId="0" applyFont="1" applyBorder="1" applyAlignment="1">
      <alignment/>
    </xf>
    <xf numFmtId="0" fontId="28" fillId="5" borderId="84" xfId="0" applyFont="1" applyFill="1" applyBorder="1" applyAlignment="1" quotePrefix="1">
      <alignment horizontal="center" vertical="center" wrapText="1"/>
    </xf>
    <xf numFmtId="167" fontId="22" fillId="7" borderId="142" xfId="0" applyNumberFormat="1" applyFont="1" applyFill="1" applyBorder="1" applyAlignment="1">
      <alignment horizontal="center"/>
    </xf>
    <xf numFmtId="0" fontId="28" fillId="5" borderId="99" xfId="0" applyFont="1" applyFill="1" applyBorder="1" applyAlignment="1">
      <alignment horizontal="center" vertical="center" wrapText="1"/>
    </xf>
    <xf numFmtId="0" fontId="0" fillId="7" borderId="100" xfId="0" applyFill="1" applyBorder="1" applyAlignment="1">
      <alignment/>
    </xf>
    <xf numFmtId="0" fontId="47" fillId="0" borderId="143" xfId="0" applyFont="1" applyBorder="1" applyAlignment="1">
      <alignment horizontal="center" vertical="center" wrapText="1"/>
    </xf>
    <xf numFmtId="0" fontId="0" fillId="7" borderId="144" xfId="0" applyFill="1" applyBorder="1" applyAlignment="1">
      <alignment/>
    </xf>
    <xf numFmtId="0" fontId="3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47" fillId="0" borderId="43" xfId="0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" fillId="0" borderId="95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24" fillId="0" borderId="45" xfId="0" applyFont="1" applyFill="1" applyBorder="1" applyAlignment="1" quotePrefix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4" fillId="0" borderId="145" xfId="0" applyFont="1" applyFill="1" applyBorder="1" applyAlignment="1">
      <alignment horizontal="left" vertical="center" wrapText="1"/>
    </xf>
    <xf numFmtId="0" fontId="24" fillId="0" borderId="14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28" fillId="5" borderId="47" xfId="0" applyFont="1" applyFill="1" applyBorder="1" applyAlignment="1" applyProtection="1" quotePrefix="1">
      <alignment horizontal="center" wrapText="1"/>
      <protection locked="0"/>
    </xf>
    <xf numFmtId="0" fontId="25" fillId="5" borderId="1" xfId="0" applyFont="1" applyFill="1" applyBorder="1" applyAlignment="1">
      <alignment horizontal="center"/>
    </xf>
    <xf numFmtId="0" fontId="28" fillId="5" borderId="47" xfId="0" applyFont="1" applyFill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2" fillId="5" borderId="147" xfId="0" applyFont="1" applyFill="1" applyBorder="1" applyAlignment="1" applyProtection="1">
      <alignment horizontal="center" wrapText="1"/>
      <protection locked="0"/>
    </xf>
    <xf numFmtId="0" fontId="22" fillId="5" borderId="148" xfId="0" applyFont="1" applyFill="1" applyBorder="1" applyAlignment="1" applyProtection="1">
      <alignment horizontal="center" wrapText="1"/>
      <protection locked="0"/>
    </xf>
    <xf numFmtId="0" fontId="28" fillId="9" borderId="80" xfId="0" applyFont="1" applyFill="1" applyBorder="1" applyAlignment="1" applyProtection="1">
      <alignment horizontal="center" wrapText="1"/>
      <protection/>
    </xf>
    <xf numFmtId="0" fontId="25" fillId="5" borderId="82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5" fontId="4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 wrapText="1"/>
    </xf>
    <xf numFmtId="5" fontId="4" fillId="0" borderId="149" xfId="0" applyNumberFormat="1" applyFont="1" applyBorder="1" applyAlignment="1" applyProtection="1">
      <alignment horizontal="center" wrapText="1"/>
      <protection locked="0"/>
    </xf>
    <xf numFmtId="0" fontId="0" fillId="0" borderId="75" xfId="0" applyFont="1" applyBorder="1" applyAlignment="1">
      <alignment horizontal="center" wrapText="1"/>
    </xf>
    <xf numFmtId="0" fontId="47" fillId="0" borderId="86" xfId="0" applyFont="1" applyBorder="1" applyAlignment="1" applyProtection="1">
      <alignment horizontal="center" vertical="center" wrapText="1"/>
      <protection/>
    </xf>
    <xf numFmtId="0" fontId="47" fillId="0" borderId="87" xfId="0" applyFont="1" applyBorder="1" applyAlignment="1" applyProtection="1">
      <alignment horizontal="center" vertical="center" wrapText="1"/>
      <protection/>
    </xf>
    <xf numFmtId="5" fontId="4" fillId="0" borderId="34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34" xfId="0" applyFont="1" applyBorder="1" applyAlignment="1" applyProtection="1">
      <alignment horizontal="center" wrapText="1"/>
      <protection locked="0"/>
    </xf>
    <xf numFmtId="0" fontId="57" fillId="7" borderId="121" xfId="0" applyFont="1" applyFill="1" applyBorder="1" applyAlignment="1">
      <alignment horizontal="center"/>
    </xf>
    <xf numFmtId="0" fontId="57" fillId="7" borderId="117" xfId="0" applyFont="1" applyFill="1" applyBorder="1" applyAlignment="1">
      <alignment horizontal="center"/>
    </xf>
    <xf numFmtId="0" fontId="57" fillId="7" borderId="118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28" fillId="5" borderId="4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wrapText="1"/>
    </xf>
    <xf numFmtId="0" fontId="28" fillId="5" borderId="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8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6" fillId="10" borderId="86" xfId="0" applyFont="1" applyFill="1" applyBorder="1" applyAlignment="1" applyProtection="1">
      <alignment horizontal="center" vertical="center" wrapText="1"/>
      <protection/>
    </xf>
    <xf numFmtId="0" fontId="46" fillId="10" borderId="150" xfId="0" applyFont="1" applyFill="1" applyBorder="1" applyAlignment="1" applyProtection="1">
      <alignment horizontal="center" vertical="center" wrapText="1"/>
      <protection/>
    </xf>
    <xf numFmtId="0" fontId="46" fillId="10" borderId="87" xfId="0" applyFont="1" applyFill="1" applyBorder="1" applyAlignment="1" applyProtection="1">
      <alignment horizontal="center" vertical="center" wrapText="1"/>
      <protection/>
    </xf>
    <xf numFmtId="0" fontId="44" fillId="0" borderId="150" xfId="0" applyFont="1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44" fillId="0" borderId="150" xfId="0" applyFont="1" applyBorder="1" applyAlignment="1">
      <alignment horizontal="center" vertical="center" wrapText="1"/>
    </xf>
    <xf numFmtId="0" fontId="44" fillId="0" borderId="87" xfId="0" applyFont="1" applyBorder="1" applyAlignment="1">
      <alignment horizontal="center" wrapText="1"/>
    </xf>
    <xf numFmtId="0" fontId="53" fillId="0" borderId="49" xfId="0" applyFont="1" applyFill="1" applyBorder="1" applyAlignment="1" quotePrefix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3" fillId="0" borderId="69" xfId="0" applyFont="1" applyFill="1" applyBorder="1" applyAlignment="1">
      <alignment horizontal="left" wrapText="1"/>
    </xf>
    <xf numFmtId="0" fontId="18" fillId="0" borderId="0" xfId="0" applyFont="1" applyFill="1" applyAlignment="1" quotePrefix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8" fillId="5" borderId="4" xfId="0" applyFont="1" applyFill="1" applyBorder="1" applyAlignment="1" quotePrefix="1">
      <alignment horizontal="center" wrapText="1"/>
    </xf>
    <xf numFmtId="0" fontId="4" fillId="0" borderId="7" xfId="0" applyFont="1" applyBorder="1" applyAlignment="1">
      <alignment horizontal="center" wrapText="1"/>
    </xf>
    <xf numFmtId="0" fontId="23" fillId="7" borderId="86" xfId="0" applyFont="1" applyFill="1" applyBorder="1" applyAlignment="1">
      <alignment horizontal="center" vertical="center"/>
    </xf>
    <xf numFmtId="0" fontId="23" fillId="7" borderId="150" xfId="0" applyFont="1" applyFill="1" applyBorder="1" applyAlignment="1">
      <alignment horizontal="center" vertical="center"/>
    </xf>
    <xf numFmtId="0" fontId="23" fillId="7" borderId="87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22" fillId="7" borderId="88" xfId="0" applyFont="1" applyFill="1" applyBorder="1" applyAlignment="1">
      <alignment horizontal="center" vertical="center" wrapText="1"/>
    </xf>
    <xf numFmtId="0" fontId="22" fillId="7" borderId="84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wrapText="1"/>
    </xf>
    <xf numFmtId="0" fontId="22" fillId="5" borderId="7" xfId="0" applyFont="1" applyFill="1" applyBorder="1" applyAlignment="1">
      <alignment horizontal="center" wrapText="1"/>
    </xf>
    <xf numFmtId="0" fontId="0" fillId="0" borderId="150" xfId="0" applyBorder="1" applyAlignment="1">
      <alignment horizontal="center" vertical="center"/>
    </xf>
    <xf numFmtId="0" fontId="22" fillId="7" borderId="151" xfId="0" applyFont="1" applyFill="1" applyBorder="1" applyAlignment="1">
      <alignment horizontal="center" wrapText="1"/>
    </xf>
    <xf numFmtId="0" fontId="0" fillId="7" borderId="112" xfId="0" applyFill="1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22" fillId="7" borderId="86" xfId="0" applyFont="1" applyFill="1" applyBorder="1" applyAlignment="1" quotePrefix="1">
      <alignment horizontal="center" vertical="center"/>
    </xf>
    <xf numFmtId="0" fontId="4" fillId="7" borderId="150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22" fillId="7" borderId="152" xfId="0" applyFont="1" applyFill="1" applyBorder="1" applyAlignment="1">
      <alignment horizontal="center" wrapText="1"/>
    </xf>
    <xf numFmtId="0" fontId="0" fillId="7" borderId="115" xfId="0" applyFill="1" applyBorder="1" applyAlignment="1">
      <alignment horizontal="center"/>
    </xf>
    <xf numFmtId="0" fontId="23" fillId="7" borderId="86" xfId="0" applyFont="1" applyFill="1" applyBorder="1" applyAlignment="1">
      <alignment horizontal="center" wrapText="1"/>
    </xf>
    <xf numFmtId="0" fontId="23" fillId="7" borderId="87" xfId="0" applyFont="1" applyFill="1" applyBorder="1" applyAlignment="1">
      <alignment horizontal="center" wrapText="1"/>
    </xf>
    <xf numFmtId="0" fontId="4" fillId="5" borderId="68" xfId="0" applyFont="1" applyFill="1" applyBorder="1" applyAlignment="1">
      <alignment horizontal="center"/>
    </xf>
    <xf numFmtId="0" fontId="4" fillId="5" borderId="126" xfId="0" applyFont="1" applyFill="1" applyBorder="1" applyAlignment="1">
      <alignment horizontal="center"/>
    </xf>
    <xf numFmtId="0" fontId="4" fillId="5" borderId="8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84" xfId="0" applyFont="1" applyFill="1" applyBorder="1" applyAlignment="1">
      <alignment horizontal="center"/>
    </xf>
    <xf numFmtId="0" fontId="0" fillId="0" borderId="51" xfId="0" applyFill="1" applyBorder="1" applyAlignment="1" quotePrefix="1">
      <alignment horizontal="left" wrapText="1"/>
    </xf>
    <xf numFmtId="0" fontId="0" fillId="0" borderId="51" xfId="0" applyFill="1" applyBorder="1" applyAlignment="1">
      <alignment wrapText="1"/>
    </xf>
    <xf numFmtId="0" fontId="0" fillId="0" borderId="5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75</xdr:row>
      <xdr:rowOff>76200</xdr:rowOff>
    </xdr:from>
    <xdr:to>
      <xdr:col>4</xdr:col>
      <xdr:colOff>381000</xdr:colOff>
      <xdr:row>76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3762375" y="14077950"/>
          <a:ext cx="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80</xdr:row>
      <xdr:rowOff>9525</xdr:rowOff>
    </xdr:from>
    <xdr:to>
      <xdr:col>4</xdr:col>
      <xdr:colOff>161925</xdr:colOff>
      <xdr:row>83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3457575" y="14982825"/>
          <a:ext cx="857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73</xdr:row>
      <xdr:rowOff>66675</xdr:rowOff>
    </xdr:from>
    <xdr:to>
      <xdr:col>6</xdr:col>
      <xdr:colOff>590550</xdr:colOff>
      <xdr:row>75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14135100"/>
          <a:ext cx="228600" cy="2857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73</xdr:row>
      <xdr:rowOff>104775</xdr:rowOff>
    </xdr:from>
    <xdr:to>
      <xdr:col>26</xdr:col>
      <xdr:colOff>609600</xdr:colOff>
      <xdr:row>74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1783675" y="14173200"/>
          <a:ext cx="180975" cy="2095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LETTE\2000-01\Budget%20Letter\Final%202000-2001%20Budget%20Lett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LETTE\2001-02\Adjusted%20Prior%20Yr%20Bud%20Letter\membership%20audit%20adjustments%2000-01as%20of%2019Feb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LETTE\2001-02\Adjusted%20Prior%20Yr%20Bud%20Letter\MASTER%20membership%20audit%20adjustments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documentation\Foreign%20Associate%20Teachers%202001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documentation\2000-01%20Tax%20Inform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documentation\2001Tab7_Enroll%20No%20Audit%20Ad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documentation\voced%20uni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LETTE\2001-02\Adjusted%20Prior%20Yr%20Bud%20Letter\membership%20audit%20adjustments%2000-01%20with%2017Jan02%20chang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documentation\Preliminary%20Mem01Rsk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documentation\Special%20Ed%20Enro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EDFIN_AC\BUDLETTE\2001-02\Adjusted%20Prior%20Yr%20Bud%20Letter\Adjusted%20with%20EOY%20comparison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State Summary"/>
      <sheetName val="Table 2 District Summary"/>
      <sheetName val="Table 3 Distribution W Adj"/>
      <sheetName val="Table 4 Formula"/>
      <sheetName val="Table 5 Lab Schools"/>
      <sheetName val="Tables 6-8 Local Wealth"/>
      <sheetName val="Table 7 Membership"/>
    </sheetNames>
    <sheetDataSet>
      <sheetData sheetId="2">
        <row r="9">
          <cell r="I9">
            <v>33587881.33846946</v>
          </cell>
        </row>
        <row r="10">
          <cell r="I10">
            <v>16612410.586684357</v>
          </cell>
        </row>
        <row r="11">
          <cell r="I11">
            <v>38187093.14745197</v>
          </cell>
        </row>
        <row r="12">
          <cell r="I12">
            <v>18105451.71471527</v>
          </cell>
        </row>
        <row r="13">
          <cell r="I13">
            <v>24189777.102322634</v>
          </cell>
        </row>
        <row r="14">
          <cell r="I14">
            <v>20852192.16252264</v>
          </cell>
        </row>
        <row r="15">
          <cell r="I15">
            <v>7694934.890198721</v>
          </cell>
        </row>
        <row r="16">
          <cell r="I16">
            <v>56918910.916562006</v>
          </cell>
        </row>
        <row r="17">
          <cell r="I17">
            <v>150270591.9822137</v>
          </cell>
        </row>
        <row r="18">
          <cell r="I18">
            <v>86289748.889641</v>
          </cell>
        </row>
        <row r="19">
          <cell r="I19">
            <v>7302903.353580234</v>
          </cell>
        </row>
        <row r="20">
          <cell r="I20">
            <v>5930431.085335275</v>
          </cell>
        </row>
        <row r="21">
          <cell r="I21">
            <v>7470143.058105277</v>
          </cell>
        </row>
        <row r="22">
          <cell r="I22">
            <v>10808578.774430977</v>
          </cell>
        </row>
        <row r="23">
          <cell r="I23">
            <v>13390491.986020798</v>
          </cell>
        </row>
        <row r="24">
          <cell r="I24">
            <v>17445447.198654614</v>
          </cell>
        </row>
        <row r="25">
          <cell r="I25">
            <v>134805145.79060185</v>
          </cell>
        </row>
        <row r="26">
          <cell r="I26">
            <v>7314492.971782079</v>
          </cell>
        </row>
        <row r="27">
          <cell r="I27">
            <v>10032146.671849068</v>
          </cell>
        </row>
        <row r="28">
          <cell r="I28">
            <v>21410046.03516213</v>
          </cell>
        </row>
        <row r="29">
          <cell r="I29">
            <v>13769529.543135714</v>
          </cell>
        </row>
        <row r="30">
          <cell r="I30">
            <v>14579747.783160796</v>
          </cell>
        </row>
        <row r="31">
          <cell r="I31">
            <v>52618739.06338965</v>
          </cell>
        </row>
        <row r="32">
          <cell r="I32">
            <v>12448563.527939519</v>
          </cell>
        </row>
        <row r="33">
          <cell r="I33">
            <v>9871670.224208234</v>
          </cell>
        </row>
        <row r="34">
          <cell r="I34">
            <v>119418042.64395283</v>
          </cell>
        </row>
        <row r="35">
          <cell r="I35">
            <v>22053209.33392795</v>
          </cell>
        </row>
        <row r="36">
          <cell r="I36">
            <v>67909366.36669172</v>
          </cell>
        </row>
        <row r="37">
          <cell r="I37">
            <v>51211531.70026371</v>
          </cell>
        </row>
        <row r="38">
          <cell r="I38">
            <v>9872349.593605353</v>
          </cell>
        </row>
        <row r="39">
          <cell r="I39">
            <v>20204683.24463113</v>
          </cell>
        </row>
        <row r="40">
          <cell r="I40">
            <v>72833407.58428632</v>
          </cell>
        </row>
        <row r="41">
          <cell r="I41">
            <v>9083116.34266083</v>
          </cell>
        </row>
        <row r="42">
          <cell r="I42">
            <v>18529068.923401184</v>
          </cell>
        </row>
        <row r="43">
          <cell r="I43">
            <v>23072355.330111675</v>
          </cell>
        </row>
        <row r="44">
          <cell r="I44">
            <v>218966736.9779548</v>
          </cell>
        </row>
        <row r="45">
          <cell r="I45">
            <v>64760395.19005987</v>
          </cell>
        </row>
        <row r="46">
          <cell r="I46">
            <v>9907130.805625504</v>
          </cell>
        </row>
        <row r="47">
          <cell r="I47">
            <v>8650612.529941406</v>
          </cell>
        </row>
        <row r="48">
          <cell r="I48">
            <v>76506513.56550856</v>
          </cell>
        </row>
        <row r="49">
          <cell r="I49">
            <v>8609936.445288356</v>
          </cell>
        </row>
        <row r="50">
          <cell r="I50">
            <v>14380323.436564658</v>
          </cell>
        </row>
        <row r="51">
          <cell r="I51">
            <v>15415849.326972088</v>
          </cell>
        </row>
        <row r="52">
          <cell r="I52">
            <v>25010614.15657356</v>
          </cell>
        </row>
        <row r="53">
          <cell r="I53">
            <v>21618204.67587886</v>
          </cell>
        </row>
        <row r="54">
          <cell r="I54">
            <v>5773602.393909058</v>
          </cell>
        </row>
        <row r="55">
          <cell r="I55">
            <v>9234989.133109458</v>
          </cell>
        </row>
        <row r="56">
          <cell r="I56">
            <v>22978142.842219483</v>
          </cell>
        </row>
        <row r="57">
          <cell r="I57">
            <v>56037421.219910726</v>
          </cell>
        </row>
        <row r="58">
          <cell r="I58">
            <v>32087406.28503777</v>
          </cell>
        </row>
        <row r="59">
          <cell r="I59">
            <v>33812921.59649534</v>
          </cell>
        </row>
        <row r="60">
          <cell r="I60">
            <v>117742209.32135002</v>
          </cell>
        </row>
        <row r="61">
          <cell r="I61">
            <v>64095367.22949434</v>
          </cell>
        </row>
        <row r="62">
          <cell r="I62">
            <v>4030923.1464291723</v>
          </cell>
        </row>
        <row r="63">
          <cell r="I63">
            <v>63929881.02003774</v>
          </cell>
        </row>
        <row r="64">
          <cell r="I64">
            <v>11475868.56623123</v>
          </cell>
        </row>
        <row r="65">
          <cell r="I65">
            <v>26840532.602867957</v>
          </cell>
        </row>
        <row r="66">
          <cell r="I66">
            <v>38164325.794850245</v>
          </cell>
        </row>
        <row r="67">
          <cell r="I67">
            <v>19770219.740929645</v>
          </cell>
        </row>
        <row r="68">
          <cell r="I68">
            <v>25361150.80107241</v>
          </cell>
        </row>
        <row r="69">
          <cell r="I69">
            <v>9171667.411096334</v>
          </cell>
        </row>
        <row r="70">
          <cell r="I70">
            <v>9137712.672857715</v>
          </cell>
        </row>
        <row r="71">
          <cell r="I71">
            <v>6600131.406132722</v>
          </cell>
        </row>
        <row r="72">
          <cell r="I72">
            <v>11155104.10180757</v>
          </cell>
        </row>
        <row r="73">
          <cell r="I73">
            <v>26522112.250566497</v>
          </cell>
        </row>
        <row r="74">
          <cell r="I74">
            <v>12123305.228056172</v>
          </cell>
        </row>
      </sheetData>
      <sheetData sheetId="3">
        <row r="75">
          <cell r="BB75">
            <v>3141.43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2">
          <cell r="N72">
            <v>818</v>
          </cell>
        </row>
        <row r="73">
          <cell r="N73">
            <v>501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OY comparison included"/>
      <sheetName val="Sheet3"/>
    </sheetNames>
    <sheetDataSet>
      <sheetData sheetId="0">
        <row r="3">
          <cell r="E3">
            <v>9810</v>
          </cell>
        </row>
        <row r="4">
          <cell r="E4">
            <v>4253</v>
          </cell>
        </row>
        <row r="5">
          <cell r="E5">
            <v>14842</v>
          </cell>
        </row>
        <row r="6">
          <cell r="E6">
            <v>4409</v>
          </cell>
        </row>
        <row r="7">
          <cell r="E7">
            <v>6888</v>
          </cell>
        </row>
        <row r="8">
          <cell r="E8">
            <v>6049</v>
          </cell>
        </row>
        <row r="9">
          <cell r="E9">
            <v>2526</v>
          </cell>
        </row>
        <row r="10">
          <cell r="E10">
            <v>18675</v>
          </cell>
        </row>
        <row r="11">
          <cell r="E11">
            <v>43966</v>
          </cell>
        </row>
        <row r="12">
          <cell r="E12">
            <v>32102</v>
          </cell>
        </row>
        <row r="13">
          <cell r="E13">
            <v>1802</v>
          </cell>
        </row>
        <row r="14">
          <cell r="E14">
            <v>1953</v>
          </cell>
        </row>
        <row r="15">
          <cell r="E15">
            <v>1886</v>
          </cell>
        </row>
        <row r="16">
          <cell r="E16">
            <v>2766</v>
          </cell>
        </row>
        <row r="17">
          <cell r="E17">
            <v>3818</v>
          </cell>
        </row>
        <row r="18">
          <cell r="E18">
            <v>4996</v>
          </cell>
        </row>
        <row r="19">
          <cell r="E19">
            <v>52864</v>
          </cell>
        </row>
        <row r="20">
          <cell r="E20">
            <v>1810</v>
          </cell>
        </row>
        <row r="21">
          <cell r="E21">
            <v>2530</v>
          </cell>
        </row>
        <row r="22">
          <cell r="E22">
            <v>6259</v>
          </cell>
        </row>
        <row r="23">
          <cell r="E23">
            <v>3823</v>
          </cell>
        </row>
        <row r="24">
          <cell r="E24">
            <v>3581</v>
          </cell>
        </row>
        <row r="25">
          <cell r="E25">
            <v>14497</v>
          </cell>
        </row>
        <row r="26">
          <cell r="E26">
            <v>4922</v>
          </cell>
        </row>
        <row r="27">
          <cell r="E27">
            <v>2555</v>
          </cell>
        </row>
        <row r="28">
          <cell r="E28">
            <v>50211</v>
          </cell>
        </row>
        <row r="29">
          <cell r="E29">
            <v>5862</v>
          </cell>
        </row>
        <row r="30">
          <cell r="E30">
            <v>29356</v>
          </cell>
        </row>
        <row r="31">
          <cell r="E31">
            <v>15136</v>
          </cell>
        </row>
        <row r="32">
          <cell r="E32">
            <v>2596</v>
          </cell>
        </row>
        <row r="33">
          <cell r="E33">
            <v>6637</v>
          </cell>
        </row>
        <row r="34">
          <cell r="E34">
            <v>19719</v>
          </cell>
        </row>
        <row r="35">
          <cell r="E35">
            <v>2480</v>
          </cell>
        </row>
        <row r="36">
          <cell r="E36">
            <v>5297</v>
          </cell>
        </row>
        <row r="37">
          <cell r="E37">
            <v>6770</v>
          </cell>
        </row>
        <row r="38">
          <cell r="E38">
            <v>74685</v>
          </cell>
        </row>
        <row r="39">
          <cell r="E39">
            <v>17339</v>
          </cell>
        </row>
        <row r="40">
          <cell r="E40">
            <v>4766</v>
          </cell>
        </row>
        <row r="41">
          <cell r="E41">
            <v>3261</v>
          </cell>
        </row>
        <row r="42">
          <cell r="E42">
            <v>22978</v>
          </cell>
        </row>
        <row r="43">
          <cell r="E43">
            <v>1815</v>
          </cell>
        </row>
        <row r="44">
          <cell r="E44">
            <v>3766</v>
          </cell>
        </row>
        <row r="45">
          <cell r="E45">
            <v>4251</v>
          </cell>
        </row>
        <row r="46">
          <cell r="E46">
            <v>8479</v>
          </cell>
        </row>
        <row r="47">
          <cell r="E47">
            <v>9692</v>
          </cell>
        </row>
        <row r="48">
          <cell r="E48">
            <v>1387</v>
          </cell>
        </row>
        <row r="49">
          <cell r="E49">
            <v>3858</v>
          </cell>
        </row>
        <row r="50">
          <cell r="E50">
            <v>6362</v>
          </cell>
        </row>
        <row r="51">
          <cell r="E51">
            <v>15441</v>
          </cell>
        </row>
        <row r="52">
          <cell r="E52">
            <v>8557</v>
          </cell>
        </row>
        <row r="53">
          <cell r="E53">
            <v>10531</v>
          </cell>
        </row>
        <row r="54">
          <cell r="E54">
            <v>32474</v>
          </cell>
        </row>
        <row r="55">
          <cell r="E55">
            <v>18103</v>
          </cell>
        </row>
        <row r="56">
          <cell r="E56">
            <v>1032</v>
          </cell>
        </row>
        <row r="57">
          <cell r="E57">
            <v>19623</v>
          </cell>
        </row>
        <row r="58">
          <cell r="E58">
            <v>3535</v>
          </cell>
        </row>
        <row r="59">
          <cell r="E59">
            <v>8869</v>
          </cell>
        </row>
        <row r="60">
          <cell r="E60">
            <v>10087</v>
          </cell>
        </row>
        <row r="61">
          <cell r="E61">
            <v>4585</v>
          </cell>
        </row>
        <row r="62">
          <cell r="E62">
            <v>7547</v>
          </cell>
        </row>
        <row r="63">
          <cell r="E63">
            <v>3745</v>
          </cell>
        </row>
        <row r="64">
          <cell r="E64">
            <v>2485</v>
          </cell>
        </row>
        <row r="65">
          <cell r="E65">
            <v>2192</v>
          </cell>
        </row>
        <row r="66">
          <cell r="E66">
            <v>2877</v>
          </cell>
        </row>
        <row r="67">
          <cell r="E67">
            <v>10141</v>
          </cell>
        </row>
        <row r="68">
          <cell r="E68">
            <v>3064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12</v>
          </cell>
        </row>
        <row r="5">
          <cell r="C5">
            <v>0</v>
          </cell>
        </row>
        <row r="6">
          <cell r="C6">
            <v>3</v>
          </cell>
        </row>
        <row r="7">
          <cell r="C7">
            <v>5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2</v>
          </cell>
        </row>
        <row r="12">
          <cell r="C12">
            <v>11</v>
          </cell>
        </row>
        <row r="13">
          <cell r="C13">
            <v>28</v>
          </cell>
        </row>
        <row r="14">
          <cell r="C14">
            <v>0</v>
          </cell>
        </row>
        <row r="15">
          <cell r="C15">
            <v>2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2</v>
          </cell>
        </row>
        <row r="19">
          <cell r="C19">
            <v>2</v>
          </cell>
        </row>
        <row r="20">
          <cell r="C20">
            <v>11</v>
          </cell>
        </row>
        <row r="21">
          <cell r="C21">
            <v>0</v>
          </cell>
        </row>
        <row r="22">
          <cell r="C22">
            <v>2</v>
          </cell>
        </row>
        <row r="23">
          <cell r="C23">
            <v>1</v>
          </cell>
        </row>
        <row r="24">
          <cell r="C24">
            <v>0</v>
          </cell>
        </row>
        <row r="25">
          <cell r="C25">
            <v>1</v>
          </cell>
        </row>
        <row r="26">
          <cell r="C26">
            <v>0</v>
          </cell>
        </row>
        <row r="27">
          <cell r="C27">
            <v>1</v>
          </cell>
        </row>
        <row r="28">
          <cell r="C28">
            <v>2</v>
          </cell>
        </row>
        <row r="29">
          <cell r="C29">
            <v>1</v>
          </cell>
        </row>
        <row r="30">
          <cell r="C30">
            <v>2</v>
          </cell>
        </row>
        <row r="31">
          <cell r="C31">
            <v>28</v>
          </cell>
        </row>
        <row r="32">
          <cell r="C32">
            <v>32</v>
          </cell>
        </row>
        <row r="33">
          <cell r="C33">
            <v>0</v>
          </cell>
        </row>
        <row r="34">
          <cell r="C34">
            <v>6</v>
          </cell>
        </row>
        <row r="35">
          <cell r="C35">
            <v>6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39</v>
          </cell>
        </row>
        <row r="40">
          <cell r="C40">
            <v>7</v>
          </cell>
        </row>
        <row r="41">
          <cell r="C41">
            <v>3</v>
          </cell>
        </row>
        <row r="42">
          <cell r="C42">
            <v>4</v>
          </cell>
        </row>
        <row r="43">
          <cell r="C43">
            <v>3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1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1</v>
          </cell>
        </row>
        <row r="51">
          <cell r="C51">
            <v>7</v>
          </cell>
        </row>
        <row r="52">
          <cell r="C52">
            <v>20</v>
          </cell>
        </row>
        <row r="53">
          <cell r="C53">
            <v>15</v>
          </cell>
        </row>
        <row r="54">
          <cell r="C54">
            <v>0</v>
          </cell>
        </row>
        <row r="55">
          <cell r="C55">
            <v>5</v>
          </cell>
        </row>
        <row r="56">
          <cell r="C56">
            <v>1</v>
          </cell>
        </row>
        <row r="57">
          <cell r="C57">
            <v>2</v>
          </cell>
        </row>
        <row r="58">
          <cell r="C58">
            <v>2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5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 Property Assessments"/>
      <sheetName val="Comparison"/>
      <sheetName val="Ad Valorem Taxes"/>
      <sheetName val="Sales Taxes"/>
      <sheetName val="Other Revenue"/>
    </sheetNames>
    <sheetDataSet>
      <sheetData sheetId="0">
        <row r="6">
          <cell r="C6">
            <v>190744750</v>
          </cell>
          <cell r="D6">
            <v>52190290</v>
          </cell>
        </row>
        <row r="7">
          <cell r="C7">
            <v>79414760</v>
          </cell>
          <cell r="D7">
            <v>20148900</v>
          </cell>
        </row>
        <row r="8">
          <cell r="C8">
            <v>490043860</v>
          </cell>
          <cell r="D8">
            <v>105154410</v>
          </cell>
        </row>
        <row r="9">
          <cell r="C9">
            <v>87808885</v>
          </cell>
          <cell r="D9">
            <v>23871571</v>
          </cell>
        </row>
        <row r="10">
          <cell r="C10">
            <v>104515080</v>
          </cell>
          <cell r="D10">
            <v>41288650</v>
          </cell>
        </row>
        <row r="11">
          <cell r="C11">
            <v>154006424</v>
          </cell>
          <cell r="D11">
            <v>35550686</v>
          </cell>
        </row>
        <row r="12">
          <cell r="C12">
            <v>127454230</v>
          </cell>
          <cell r="D12">
            <v>11652540</v>
          </cell>
        </row>
        <row r="13">
          <cell r="C13">
            <v>450641960</v>
          </cell>
          <cell r="D13">
            <v>119849120</v>
          </cell>
        </row>
        <row r="14">
          <cell r="C14">
            <v>1131885010</v>
          </cell>
          <cell r="D14">
            <v>293890560</v>
          </cell>
        </row>
        <row r="15">
          <cell r="C15">
            <v>1026152610</v>
          </cell>
          <cell r="D15">
            <v>227443330</v>
          </cell>
        </row>
        <row r="16">
          <cell r="C16">
            <v>33688291</v>
          </cell>
          <cell r="D16">
            <v>10022075</v>
          </cell>
        </row>
        <row r="17">
          <cell r="C17">
            <v>139366621</v>
          </cell>
          <cell r="D17">
            <v>10605744</v>
          </cell>
        </row>
        <row r="18">
          <cell r="C18">
            <v>38596810</v>
          </cell>
          <cell r="D18">
            <v>11263680</v>
          </cell>
        </row>
        <row r="19">
          <cell r="C19">
            <v>80918640</v>
          </cell>
          <cell r="D19">
            <v>16575330</v>
          </cell>
        </row>
        <row r="20">
          <cell r="C20">
            <v>95701490</v>
          </cell>
          <cell r="D20">
            <v>22647390</v>
          </cell>
        </row>
        <row r="21">
          <cell r="C21">
            <v>197415372</v>
          </cell>
          <cell r="D21">
            <v>28493946</v>
          </cell>
        </row>
        <row r="22">
          <cell r="C22">
            <v>2324089310</v>
          </cell>
          <cell r="D22">
            <v>557463500</v>
          </cell>
        </row>
        <row r="23">
          <cell r="C23">
            <v>32621786</v>
          </cell>
          <cell r="D23">
            <v>5748135</v>
          </cell>
        </row>
        <row r="24">
          <cell r="C24">
            <v>79803420</v>
          </cell>
          <cell r="D24">
            <v>25113990</v>
          </cell>
        </row>
        <row r="25">
          <cell r="C25">
            <v>137998310</v>
          </cell>
          <cell r="D25">
            <v>34953700</v>
          </cell>
        </row>
        <row r="26">
          <cell r="C26">
            <v>62418604</v>
          </cell>
          <cell r="D26">
            <v>21630100</v>
          </cell>
        </row>
        <row r="27">
          <cell r="C27">
            <v>45910828</v>
          </cell>
          <cell r="D27">
            <v>18557556</v>
          </cell>
        </row>
        <row r="28">
          <cell r="C28">
            <v>300849170</v>
          </cell>
          <cell r="D28">
            <v>83152703</v>
          </cell>
        </row>
        <row r="29">
          <cell r="C29">
            <v>293987178</v>
          </cell>
          <cell r="D29">
            <v>37235350</v>
          </cell>
        </row>
        <row r="30">
          <cell r="C30">
            <v>64585430</v>
          </cell>
          <cell r="D30">
            <v>14869430</v>
          </cell>
        </row>
        <row r="31">
          <cell r="C31">
            <v>2613660801</v>
          </cell>
          <cell r="D31">
            <v>749726810</v>
          </cell>
        </row>
        <row r="32">
          <cell r="C32">
            <v>124288670</v>
          </cell>
          <cell r="D32">
            <v>31064835</v>
          </cell>
        </row>
        <row r="33">
          <cell r="C33">
            <v>879927716</v>
          </cell>
          <cell r="D33">
            <v>240542846</v>
          </cell>
        </row>
        <row r="34">
          <cell r="C34">
            <v>422875040</v>
          </cell>
          <cell r="D34">
            <v>122835770</v>
          </cell>
        </row>
        <row r="35">
          <cell r="C35">
            <v>53575181</v>
          </cell>
          <cell r="D35">
            <v>14354161</v>
          </cell>
        </row>
        <row r="36">
          <cell r="C36">
            <v>183521030</v>
          </cell>
          <cell r="D36">
            <v>42252330</v>
          </cell>
        </row>
        <row r="37">
          <cell r="C37">
            <v>271769720</v>
          </cell>
          <cell r="D37">
            <v>133822190</v>
          </cell>
        </row>
        <row r="38">
          <cell r="C38">
            <v>52192720</v>
          </cell>
          <cell r="D38">
            <v>9670137</v>
          </cell>
        </row>
        <row r="39">
          <cell r="C39">
            <v>132853870</v>
          </cell>
          <cell r="D39">
            <v>29433030</v>
          </cell>
        </row>
        <row r="40">
          <cell r="C40">
            <v>146473830</v>
          </cell>
          <cell r="D40">
            <v>38187270</v>
          </cell>
        </row>
        <row r="41">
          <cell r="C41">
            <v>2248022196</v>
          </cell>
          <cell r="D41">
            <v>474795273</v>
          </cell>
        </row>
        <row r="42">
          <cell r="C42">
            <v>392328530</v>
          </cell>
          <cell r="D42">
            <v>115356241</v>
          </cell>
        </row>
        <row r="43">
          <cell r="C43">
            <v>489840320</v>
          </cell>
          <cell r="D43">
            <v>29808955</v>
          </cell>
        </row>
        <row r="44">
          <cell r="C44">
            <v>227736619</v>
          </cell>
          <cell r="D44">
            <v>30689424</v>
          </cell>
        </row>
        <row r="45">
          <cell r="C45">
            <v>540050308</v>
          </cell>
          <cell r="D45">
            <v>139146550</v>
          </cell>
        </row>
        <row r="46">
          <cell r="C46">
            <v>34949490</v>
          </cell>
          <cell r="D46">
            <v>8656520</v>
          </cell>
        </row>
        <row r="47">
          <cell r="C47">
            <v>75069210</v>
          </cell>
          <cell r="D47">
            <v>21203630</v>
          </cell>
        </row>
        <row r="48">
          <cell r="C48">
            <v>92292220</v>
          </cell>
          <cell r="D48">
            <v>24801570</v>
          </cell>
        </row>
        <row r="49">
          <cell r="C49">
            <v>310696599</v>
          </cell>
          <cell r="D49">
            <v>109200217</v>
          </cell>
        </row>
        <row r="50">
          <cell r="C50">
            <v>710902953</v>
          </cell>
          <cell r="D50">
            <v>74530508</v>
          </cell>
        </row>
        <row r="51">
          <cell r="C51">
            <v>42224600</v>
          </cell>
          <cell r="D51">
            <v>12502660</v>
          </cell>
        </row>
        <row r="52">
          <cell r="C52">
            <v>251541406</v>
          </cell>
          <cell r="D52">
            <v>28553165</v>
          </cell>
        </row>
        <row r="53">
          <cell r="C53">
            <v>223938104</v>
          </cell>
          <cell r="D53">
            <v>62950401</v>
          </cell>
        </row>
        <row r="54">
          <cell r="C54">
            <v>337354620</v>
          </cell>
          <cell r="D54">
            <v>87339400</v>
          </cell>
        </row>
        <row r="55">
          <cell r="C55">
            <v>165504216</v>
          </cell>
          <cell r="D55">
            <v>54699293</v>
          </cell>
        </row>
        <row r="56">
          <cell r="C56">
            <v>303104315</v>
          </cell>
          <cell r="D56">
            <v>56164934</v>
          </cell>
        </row>
        <row r="57">
          <cell r="C57">
            <v>871483563</v>
          </cell>
          <cell r="D57">
            <v>339787718</v>
          </cell>
        </row>
        <row r="58">
          <cell r="C58">
            <v>342511374</v>
          </cell>
          <cell r="D58">
            <v>128196848</v>
          </cell>
        </row>
        <row r="59">
          <cell r="C59">
            <v>44511513</v>
          </cell>
          <cell r="D59">
            <v>6255755</v>
          </cell>
        </row>
        <row r="60">
          <cell r="C60">
            <v>493424250</v>
          </cell>
          <cell r="D60">
            <v>131856605</v>
          </cell>
        </row>
        <row r="61">
          <cell r="C61">
            <v>87933550</v>
          </cell>
          <cell r="D61">
            <v>25029300</v>
          </cell>
        </row>
        <row r="62">
          <cell r="C62">
            <v>245410220</v>
          </cell>
          <cell r="D62">
            <v>61599730</v>
          </cell>
        </row>
        <row r="63">
          <cell r="C63">
            <v>113523380</v>
          </cell>
          <cell r="D63">
            <v>32699910</v>
          </cell>
        </row>
        <row r="64">
          <cell r="C64">
            <v>76807480</v>
          </cell>
          <cell r="D64">
            <v>28978860</v>
          </cell>
        </row>
        <row r="65">
          <cell r="C65">
            <v>156235400</v>
          </cell>
          <cell r="D65">
            <v>41609500</v>
          </cell>
        </row>
        <row r="66">
          <cell r="C66">
            <v>196312690</v>
          </cell>
          <cell r="D66">
            <v>29326630</v>
          </cell>
        </row>
        <row r="67">
          <cell r="C67">
            <v>47896820</v>
          </cell>
          <cell r="D67">
            <v>13569275</v>
          </cell>
        </row>
        <row r="68">
          <cell r="C68">
            <v>306673579</v>
          </cell>
          <cell r="D68">
            <v>11709037</v>
          </cell>
        </row>
        <row r="69">
          <cell r="C69">
            <v>59311301</v>
          </cell>
          <cell r="D69">
            <v>14035790</v>
          </cell>
        </row>
        <row r="70">
          <cell r="C70">
            <v>312380783</v>
          </cell>
          <cell r="D70">
            <v>43040211</v>
          </cell>
        </row>
        <row r="71">
          <cell r="C71">
            <v>60806640</v>
          </cell>
          <cell r="D71">
            <v>18836710</v>
          </cell>
        </row>
      </sheetData>
      <sheetData sheetId="2">
        <row r="7">
          <cell r="C7">
            <v>5.14</v>
          </cell>
          <cell r="D7">
            <v>679708</v>
          </cell>
          <cell r="E7">
            <v>20.03</v>
          </cell>
          <cell r="F7">
            <v>2649032</v>
          </cell>
          <cell r="G7">
            <v>0</v>
          </cell>
          <cell r="H7">
            <v>13.45</v>
          </cell>
          <cell r="I7">
            <v>1</v>
          </cell>
          <cell r="J7">
            <v>116188</v>
          </cell>
          <cell r="L7">
            <v>0</v>
          </cell>
          <cell r="M7">
            <v>0</v>
          </cell>
          <cell r="N7">
            <v>0</v>
          </cell>
          <cell r="O7">
            <v>34</v>
          </cell>
          <cell r="P7">
            <v>5</v>
          </cell>
          <cell r="Q7">
            <v>1001758</v>
          </cell>
        </row>
        <row r="8">
          <cell r="C8">
            <v>4.26</v>
          </cell>
          <cell r="D8">
            <v>227808</v>
          </cell>
          <cell r="E8">
            <v>5.13</v>
          </cell>
          <cell r="F8">
            <v>274334</v>
          </cell>
          <cell r="G8">
            <v>12.37</v>
          </cell>
          <cell r="H8">
            <v>68.22</v>
          </cell>
          <cell r="I8">
            <v>6</v>
          </cell>
          <cell r="J8">
            <v>1053412</v>
          </cell>
          <cell r="L8">
            <v>0</v>
          </cell>
          <cell r="M8">
            <v>0</v>
          </cell>
          <cell r="N8">
            <v>9.5</v>
          </cell>
          <cell r="O8">
            <v>36.6</v>
          </cell>
          <cell r="P8">
            <v>6</v>
          </cell>
          <cell r="Q8">
            <v>1190775</v>
          </cell>
        </row>
        <row r="9">
          <cell r="C9">
            <v>3.52</v>
          </cell>
          <cell r="D9">
            <v>1363525</v>
          </cell>
          <cell r="E9">
            <v>33.27</v>
          </cell>
          <cell r="F9">
            <v>12857409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15.08</v>
          </cell>
          <cell r="M9">
            <v>5845004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5.51</v>
          </cell>
          <cell r="D10">
            <v>344717</v>
          </cell>
          <cell r="E10">
            <v>33.98</v>
          </cell>
          <cell r="F10">
            <v>2125964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4</v>
          </cell>
          <cell r="M10">
            <v>250317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3.46</v>
          </cell>
          <cell r="D11">
            <v>218512</v>
          </cell>
          <cell r="E11">
            <v>5</v>
          </cell>
          <cell r="F11">
            <v>631684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5</v>
          </cell>
          <cell r="M11">
            <v>0</v>
          </cell>
          <cell r="N11">
            <v>9</v>
          </cell>
          <cell r="O11">
            <v>20</v>
          </cell>
          <cell r="P11">
            <v>9</v>
          </cell>
          <cell r="Q11">
            <v>609836</v>
          </cell>
        </row>
        <row r="12">
          <cell r="C12">
            <v>4.3</v>
          </cell>
          <cell r="D12">
            <v>611718</v>
          </cell>
          <cell r="E12">
            <v>27.05</v>
          </cell>
          <cell r="F12">
            <v>3026957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17.8</v>
          </cell>
          <cell r="M12">
            <v>2068435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6.03</v>
          </cell>
          <cell r="D13">
            <v>677327</v>
          </cell>
          <cell r="E13">
            <v>26.36</v>
          </cell>
          <cell r="F13">
            <v>2981979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4</v>
          </cell>
          <cell r="O13">
            <v>59</v>
          </cell>
          <cell r="P13">
            <v>7</v>
          </cell>
          <cell r="Q13">
            <v>1037421</v>
          </cell>
        </row>
        <row r="14">
          <cell r="C14">
            <v>4.22</v>
          </cell>
          <cell r="D14">
            <v>1281102</v>
          </cell>
          <cell r="E14">
            <v>45.72</v>
          </cell>
          <cell r="F14">
            <v>13842604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5.2</v>
          </cell>
          <cell r="O14">
            <v>5.2</v>
          </cell>
          <cell r="P14">
            <v>1</v>
          </cell>
          <cell r="Q14">
            <v>1587628</v>
          </cell>
        </row>
        <row r="15">
          <cell r="C15">
            <v>9.25</v>
          </cell>
          <cell r="D15">
            <v>7550656</v>
          </cell>
          <cell r="E15">
            <v>67.08</v>
          </cell>
          <cell r="F15">
            <v>54757832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9.3</v>
          </cell>
          <cell r="M15">
            <v>7454321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5.82</v>
          </cell>
          <cell r="D16">
            <v>4549312</v>
          </cell>
          <cell r="E16">
            <v>13.74</v>
          </cell>
          <cell r="F16">
            <v>10740229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9.2</v>
          </cell>
          <cell r="O16">
            <v>55.5</v>
          </cell>
          <cell r="P16">
            <v>10</v>
          </cell>
          <cell r="Q16">
            <v>13419804</v>
          </cell>
        </row>
        <row r="17">
          <cell r="C17">
            <v>5.12</v>
          </cell>
          <cell r="D17">
            <v>117072</v>
          </cell>
          <cell r="E17">
            <v>31.34</v>
          </cell>
          <cell r="F17">
            <v>716611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5684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4.64</v>
          </cell>
          <cell r="D18">
            <v>629794</v>
          </cell>
          <cell r="E18">
            <v>46.08</v>
          </cell>
          <cell r="F18">
            <v>6257038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7</v>
          </cell>
          <cell r="O18">
            <v>22</v>
          </cell>
          <cell r="P18">
            <v>2</v>
          </cell>
          <cell r="Q18">
            <v>802680</v>
          </cell>
        </row>
        <row r="19">
          <cell r="C19">
            <v>4.29</v>
          </cell>
          <cell r="D19">
            <v>115452</v>
          </cell>
          <cell r="E19">
            <v>12.75</v>
          </cell>
          <cell r="F19">
            <v>343090</v>
          </cell>
          <cell r="G19">
            <v>4.79</v>
          </cell>
          <cell r="H19">
            <v>5.29</v>
          </cell>
          <cell r="I19">
            <v>4</v>
          </cell>
          <cell r="J19">
            <v>114569</v>
          </cell>
          <cell r="L19">
            <v>0</v>
          </cell>
          <cell r="M19">
            <v>0</v>
          </cell>
          <cell r="N19">
            <v>10</v>
          </cell>
          <cell r="O19">
            <v>42</v>
          </cell>
          <cell r="P19">
            <v>4</v>
          </cell>
          <cell r="Q19">
            <v>568412</v>
          </cell>
        </row>
        <row r="20">
          <cell r="C20">
            <v>6.29</v>
          </cell>
          <cell r="D20">
            <v>405507</v>
          </cell>
          <cell r="E20">
            <v>12.22</v>
          </cell>
          <cell r="F20">
            <v>757189</v>
          </cell>
          <cell r="G20">
            <v>4.06</v>
          </cell>
          <cell r="H20">
            <v>12.66</v>
          </cell>
          <cell r="I20">
            <v>5</v>
          </cell>
          <cell r="J20">
            <v>429684</v>
          </cell>
          <cell r="L20">
            <v>0</v>
          </cell>
          <cell r="M20">
            <v>0</v>
          </cell>
          <cell r="N20">
            <v>4.04</v>
          </cell>
          <cell r="O20">
            <v>9.64</v>
          </cell>
          <cell r="P20">
            <v>2</v>
          </cell>
          <cell r="Q20">
            <v>115738</v>
          </cell>
        </row>
        <row r="21">
          <cell r="C21">
            <v>3.08</v>
          </cell>
          <cell r="D21">
            <v>1222711</v>
          </cell>
          <cell r="E21">
            <v>24.43</v>
          </cell>
          <cell r="F21">
            <v>2386540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4.49</v>
          </cell>
          <cell r="D22">
            <v>752326</v>
          </cell>
          <cell r="E22">
            <v>43.07</v>
          </cell>
          <cell r="F22">
            <v>7215610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9</v>
          </cell>
          <cell r="O22">
            <v>35</v>
          </cell>
          <cell r="P22">
            <v>5</v>
          </cell>
          <cell r="Q22">
            <v>1883090</v>
          </cell>
        </row>
        <row r="23">
          <cell r="C23">
            <v>5.25</v>
          </cell>
          <cell r="D23">
            <v>9091617</v>
          </cell>
          <cell r="E23">
            <v>38.2</v>
          </cell>
          <cell r="F23">
            <v>66153044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5.79</v>
          </cell>
          <cell r="D24">
            <v>138395</v>
          </cell>
          <cell r="E24">
            <v>6.01</v>
          </cell>
          <cell r="F24">
            <v>143869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3.34</v>
          </cell>
          <cell r="D25">
            <v>162538</v>
          </cell>
          <cell r="E25">
            <v>15.51</v>
          </cell>
          <cell r="F25">
            <v>754778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17.61</v>
          </cell>
          <cell r="M25">
            <v>857269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4.56</v>
          </cell>
          <cell r="D26">
            <v>453768</v>
          </cell>
          <cell r="E26">
            <v>10.15</v>
          </cell>
          <cell r="F26">
            <v>1009914</v>
          </cell>
          <cell r="G26">
            <v>2.08</v>
          </cell>
          <cell r="H26">
            <v>12.22</v>
          </cell>
          <cell r="I26">
            <v>3</v>
          </cell>
          <cell r="J26">
            <v>1360563</v>
          </cell>
          <cell r="L26">
            <v>0</v>
          </cell>
          <cell r="M26">
            <v>0</v>
          </cell>
          <cell r="N26">
            <v>7</v>
          </cell>
          <cell r="O26">
            <v>16.25</v>
          </cell>
          <cell r="P26">
            <v>2</v>
          </cell>
          <cell r="Q26">
            <v>332612</v>
          </cell>
        </row>
        <row r="27">
          <cell r="C27">
            <v>4.31</v>
          </cell>
          <cell r="D27">
            <v>166256</v>
          </cell>
          <cell r="E27">
            <v>9.49</v>
          </cell>
          <cell r="F27">
            <v>365886</v>
          </cell>
          <cell r="G27">
            <v>0</v>
          </cell>
          <cell r="H27">
            <v>0</v>
          </cell>
          <cell r="I27">
            <v>1</v>
          </cell>
          <cell r="J27">
            <v>18579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5.93</v>
          </cell>
          <cell r="D28">
            <v>162995</v>
          </cell>
          <cell r="E28">
            <v>24.12</v>
          </cell>
          <cell r="F28">
            <v>663071</v>
          </cell>
          <cell r="G28">
            <v>2.66</v>
          </cell>
          <cell r="H28">
            <v>16.12</v>
          </cell>
          <cell r="I28">
            <v>7</v>
          </cell>
          <cell r="J28">
            <v>239052</v>
          </cell>
          <cell r="L28">
            <v>0</v>
          </cell>
          <cell r="M28">
            <v>0</v>
          </cell>
          <cell r="N28">
            <v>16</v>
          </cell>
          <cell r="O28">
            <v>32</v>
          </cell>
          <cell r="P28">
            <v>3</v>
          </cell>
          <cell r="Q28">
            <v>436839</v>
          </cell>
        </row>
        <row r="29">
          <cell r="C29">
            <v>5.59</v>
          </cell>
          <cell r="D29">
            <v>1201742</v>
          </cell>
          <cell r="E29">
            <v>7.79</v>
          </cell>
          <cell r="F29">
            <v>1674812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23.84</v>
          </cell>
          <cell r="M29">
            <v>5079227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3.93</v>
          </cell>
          <cell r="D30">
            <v>991750</v>
          </cell>
          <cell r="E30">
            <v>24.34</v>
          </cell>
          <cell r="F30">
            <v>6141571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12</v>
          </cell>
          <cell r="M30">
            <v>3026603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>
            <v>4.9</v>
          </cell>
          <cell r="D31">
            <v>291535</v>
          </cell>
          <cell r="E31">
            <v>13.7</v>
          </cell>
          <cell r="F31">
            <v>1021629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11</v>
          </cell>
          <cell r="O31">
            <v>26.5</v>
          </cell>
          <cell r="P31">
            <v>4</v>
          </cell>
          <cell r="Q31">
            <v>324562</v>
          </cell>
        </row>
        <row r="32">
          <cell r="C32">
            <v>2.6</v>
          </cell>
          <cell r="D32">
            <v>4718483</v>
          </cell>
          <cell r="E32">
            <v>9.84</v>
          </cell>
          <cell r="F32">
            <v>17827667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33010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>
            <v>6.48</v>
          </cell>
          <cell r="D33">
            <v>570541</v>
          </cell>
          <cell r="E33">
            <v>10.77</v>
          </cell>
          <cell r="F33">
            <v>948258</v>
          </cell>
          <cell r="G33">
            <v>4.02</v>
          </cell>
          <cell r="H33">
            <v>21.45</v>
          </cell>
          <cell r="I33">
            <v>7</v>
          </cell>
          <cell r="J33">
            <v>1063613</v>
          </cell>
          <cell r="L33">
            <v>0</v>
          </cell>
          <cell r="M33">
            <v>0</v>
          </cell>
          <cell r="N33">
            <v>8</v>
          </cell>
          <cell r="O33">
            <v>28</v>
          </cell>
          <cell r="P33">
            <v>4</v>
          </cell>
          <cell r="Q33">
            <v>817434</v>
          </cell>
        </row>
        <row r="34">
          <cell r="C34">
            <v>4.59</v>
          </cell>
          <cell r="D34">
            <v>2822535</v>
          </cell>
          <cell r="E34">
            <v>28.97</v>
          </cell>
          <cell r="F34">
            <v>17826087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0.8</v>
          </cell>
          <cell r="M34">
            <v>505667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>
            <v>3.93</v>
          </cell>
          <cell r="D35">
            <v>1153155</v>
          </cell>
          <cell r="E35">
            <v>21.99</v>
          </cell>
          <cell r="F35">
            <v>6447792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17.2</v>
          </cell>
          <cell r="M35">
            <v>5043183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5.19</v>
          </cell>
          <cell r="D36">
            <v>186498</v>
          </cell>
          <cell r="E36">
            <v>45.39</v>
          </cell>
          <cell r="F36">
            <v>1653260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4.99</v>
          </cell>
          <cell r="D37">
            <v>656405</v>
          </cell>
          <cell r="E37">
            <v>32.37</v>
          </cell>
          <cell r="F37">
            <v>4248624</v>
          </cell>
          <cell r="G37">
            <v>2.75</v>
          </cell>
          <cell r="H37">
            <v>3.33</v>
          </cell>
          <cell r="I37">
            <v>3</v>
          </cell>
          <cell r="J37">
            <v>369100</v>
          </cell>
          <cell r="L37">
            <v>0</v>
          </cell>
          <cell r="M37">
            <v>0</v>
          </cell>
          <cell r="N37">
            <v>15</v>
          </cell>
          <cell r="O37">
            <v>25</v>
          </cell>
          <cell r="P37">
            <v>3</v>
          </cell>
          <cell r="Q37">
            <v>1867177</v>
          </cell>
        </row>
        <row r="38">
          <cell r="C38">
            <v>3.29</v>
          </cell>
          <cell r="D38">
            <v>455556</v>
          </cell>
          <cell r="E38">
            <v>19.18</v>
          </cell>
          <cell r="F38">
            <v>2655809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10.57</v>
          </cell>
          <cell r="O38">
            <v>50.17</v>
          </cell>
          <cell r="P38">
            <v>10</v>
          </cell>
          <cell r="Q38">
            <v>3696787</v>
          </cell>
        </row>
        <row r="39">
          <cell r="C39">
            <v>4.76</v>
          </cell>
          <cell r="D39">
            <v>203578</v>
          </cell>
          <cell r="E39">
            <v>4.76</v>
          </cell>
          <cell r="F39">
            <v>203578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>
            <v>5.57</v>
          </cell>
          <cell r="D40">
            <v>530300</v>
          </cell>
          <cell r="E40">
            <v>23.29</v>
          </cell>
          <cell r="F40">
            <v>2217260</v>
          </cell>
          <cell r="G40">
            <v>5</v>
          </cell>
          <cell r="H40">
            <v>5</v>
          </cell>
          <cell r="I40">
            <v>1</v>
          </cell>
          <cell r="J40">
            <v>25302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>
            <v>4.65</v>
          </cell>
          <cell r="D41">
            <v>491598</v>
          </cell>
          <cell r="E41">
            <v>7</v>
          </cell>
          <cell r="F41">
            <v>740040</v>
          </cell>
          <cell r="G41">
            <v>6.98</v>
          </cell>
          <cell r="H41">
            <v>7</v>
          </cell>
          <cell r="I41">
            <v>5</v>
          </cell>
          <cell r="J41">
            <v>750245</v>
          </cell>
          <cell r="L41">
            <v>0</v>
          </cell>
          <cell r="M41">
            <v>0</v>
          </cell>
          <cell r="N41">
            <v>27</v>
          </cell>
          <cell r="O41">
            <v>53</v>
          </cell>
          <cell r="P41">
            <v>3</v>
          </cell>
          <cell r="Q41">
            <v>3249980</v>
          </cell>
        </row>
        <row r="42">
          <cell r="C42">
            <v>27.65</v>
          </cell>
          <cell r="D42">
            <v>43965614</v>
          </cell>
          <cell r="E42">
            <v>14.26</v>
          </cell>
          <cell r="F42">
            <v>28371224</v>
          </cell>
          <cell r="G42">
            <v>0</v>
          </cell>
          <cell r="H42">
            <v>0</v>
          </cell>
          <cell r="I42">
            <v>7</v>
          </cell>
          <cell r="J42">
            <v>0</v>
          </cell>
          <cell r="L42">
            <v>10.79</v>
          </cell>
          <cell r="M42">
            <v>13345886</v>
          </cell>
          <cell r="N42">
            <v>0</v>
          </cell>
          <cell r="O42">
            <v>0</v>
          </cell>
          <cell r="P42">
            <v>7</v>
          </cell>
          <cell r="Q42">
            <v>0</v>
          </cell>
        </row>
        <row r="43">
          <cell r="C43">
            <v>5.17</v>
          </cell>
          <cell r="D43">
            <v>1349907</v>
          </cell>
          <cell r="E43">
            <v>24.09</v>
          </cell>
          <cell r="F43">
            <v>6289932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18.5</v>
          </cell>
          <cell r="O43">
            <v>30.4</v>
          </cell>
          <cell r="P43">
            <v>2</v>
          </cell>
          <cell r="Q43">
            <v>5891939</v>
          </cell>
        </row>
        <row r="44">
          <cell r="C44">
            <v>6.03</v>
          </cell>
          <cell r="D44">
            <v>2624933</v>
          </cell>
          <cell r="E44">
            <v>7.47</v>
          </cell>
          <cell r="F44">
            <v>3251752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2.6</v>
          </cell>
          <cell r="M44">
            <v>1127291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4.54</v>
          </cell>
          <cell r="D45">
            <v>880595</v>
          </cell>
          <cell r="E45">
            <v>11.96</v>
          </cell>
          <cell r="F45">
            <v>2323461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N45">
            <v>2.56</v>
          </cell>
          <cell r="O45">
            <v>12.28</v>
          </cell>
          <cell r="P45">
            <v>2</v>
          </cell>
          <cell r="Q45">
            <v>640369</v>
          </cell>
        </row>
        <row r="46">
          <cell r="C46">
            <v>4.77</v>
          </cell>
          <cell r="D46">
            <v>1882999</v>
          </cell>
          <cell r="E46">
            <v>20.93</v>
          </cell>
          <cell r="F46">
            <v>8263954</v>
          </cell>
          <cell r="G46">
            <v>3.04</v>
          </cell>
          <cell r="H46">
            <v>24.15</v>
          </cell>
          <cell r="I46">
            <v>13</v>
          </cell>
          <cell r="J46">
            <v>3672886</v>
          </cell>
          <cell r="L46">
            <v>0</v>
          </cell>
          <cell r="M46">
            <v>0</v>
          </cell>
          <cell r="N46">
            <v>5</v>
          </cell>
          <cell r="O46">
            <v>86</v>
          </cell>
          <cell r="P46">
            <v>12</v>
          </cell>
          <cell r="Q46">
            <v>11421700</v>
          </cell>
        </row>
        <row r="47">
          <cell r="C47">
            <v>4.58</v>
          </cell>
          <cell r="D47">
            <v>120422</v>
          </cell>
          <cell r="E47">
            <v>36.62</v>
          </cell>
          <cell r="F47">
            <v>962848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42</v>
          </cell>
          <cell r="M47">
            <v>1104305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6.42</v>
          </cell>
          <cell r="D48">
            <v>325697</v>
          </cell>
          <cell r="E48">
            <v>6.87</v>
          </cell>
          <cell r="F48">
            <v>348620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L48">
            <v>0</v>
          </cell>
          <cell r="M48">
            <v>0</v>
          </cell>
          <cell r="N48">
            <v>30</v>
          </cell>
          <cell r="O48">
            <v>54</v>
          </cell>
          <cell r="P48">
            <v>3</v>
          </cell>
          <cell r="Q48">
            <v>1379789</v>
          </cell>
        </row>
        <row r="49">
          <cell r="C49">
            <v>4.74</v>
          </cell>
          <cell r="D49">
            <v>313859</v>
          </cell>
          <cell r="E49">
            <v>8</v>
          </cell>
          <cell r="F49">
            <v>529720</v>
          </cell>
          <cell r="G49">
            <v>7.44</v>
          </cell>
          <cell r="H49">
            <v>12.2</v>
          </cell>
          <cell r="I49">
            <v>7</v>
          </cell>
          <cell r="J49">
            <v>555143</v>
          </cell>
          <cell r="L49">
            <v>0</v>
          </cell>
          <cell r="M49">
            <v>0</v>
          </cell>
          <cell r="N49">
            <v>5</v>
          </cell>
          <cell r="O49">
            <v>52</v>
          </cell>
          <cell r="P49">
            <v>7</v>
          </cell>
          <cell r="Q49">
            <v>1848927</v>
          </cell>
        </row>
        <row r="50">
          <cell r="C50">
            <v>3.75</v>
          </cell>
          <cell r="D50">
            <v>744886</v>
          </cell>
          <cell r="E50">
            <v>31.25</v>
          </cell>
          <cell r="F50">
            <v>6207384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13.25</v>
          </cell>
          <cell r="M50">
            <v>2631978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4.07</v>
          </cell>
          <cell r="D51">
            <v>2574331</v>
          </cell>
          <cell r="E51">
            <v>44.16</v>
          </cell>
          <cell r="F51">
            <v>27257076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6.86</v>
          </cell>
          <cell r="M51">
            <v>4344068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3.38</v>
          </cell>
          <cell r="D52">
            <v>95448</v>
          </cell>
          <cell r="E52">
            <v>14.48</v>
          </cell>
          <cell r="F52">
            <v>400710</v>
          </cell>
          <cell r="G52">
            <v>0</v>
          </cell>
          <cell r="H52">
            <v>0</v>
          </cell>
          <cell r="I52">
            <v>6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6</v>
          </cell>
          <cell r="Q52">
            <v>0</v>
          </cell>
        </row>
        <row r="53">
          <cell r="C53">
            <v>4.02</v>
          </cell>
          <cell r="D53">
            <v>923192</v>
          </cell>
          <cell r="E53">
            <v>24.04</v>
          </cell>
          <cell r="F53">
            <v>5648800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10</v>
          </cell>
          <cell r="M53">
            <v>2166643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3.87</v>
          </cell>
          <cell r="D54">
            <v>587004</v>
          </cell>
          <cell r="E54">
            <v>18.6</v>
          </cell>
          <cell r="F54">
            <v>2820074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L54">
            <v>24.12</v>
          </cell>
          <cell r="M54">
            <v>3658429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4.5</v>
          </cell>
          <cell r="D55">
            <v>1009761</v>
          </cell>
          <cell r="E55">
            <v>16.15</v>
          </cell>
          <cell r="F55">
            <v>3664595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10.5</v>
          </cell>
          <cell r="M55">
            <v>2382420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>
            <v>3.14</v>
          </cell>
          <cell r="D56">
            <v>324156</v>
          </cell>
          <cell r="E56">
            <v>12</v>
          </cell>
          <cell r="F56">
            <v>1238160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24</v>
          </cell>
          <cell r="M56">
            <v>2581697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>
            <v>9.01</v>
          </cell>
          <cell r="D57">
            <v>2113867</v>
          </cell>
          <cell r="E57">
            <v>11.92</v>
          </cell>
          <cell r="F57">
            <v>2796624</v>
          </cell>
          <cell r="G57">
            <v>10.87</v>
          </cell>
          <cell r="H57">
            <v>14.21</v>
          </cell>
          <cell r="I57">
            <v>3</v>
          </cell>
          <cell r="J57">
            <v>2970692</v>
          </cell>
          <cell r="L57">
            <v>0</v>
          </cell>
          <cell r="M57">
            <v>0</v>
          </cell>
          <cell r="N57">
            <v>7.5</v>
          </cell>
          <cell r="O57">
            <v>30</v>
          </cell>
          <cell r="P57">
            <v>2</v>
          </cell>
          <cell r="Q57">
            <v>2087046</v>
          </cell>
        </row>
        <row r="58">
          <cell r="C58">
            <v>4.47</v>
          </cell>
          <cell r="D58">
            <v>2290333</v>
          </cell>
          <cell r="E58">
            <v>56.73</v>
          </cell>
          <cell r="F58">
            <v>29067495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25.9</v>
          </cell>
          <cell r="M58">
            <v>13270712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>
            <v>4.06</v>
          </cell>
          <cell r="D59">
            <v>861181</v>
          </cell>
          <cell r="E59">
            <v>0</v>
          </cell>
          <cell r="F59">
            <v>0</v>
          </cell>
          <cell r="G59">
            <v>0</v>
          </cell>
          <cell r="H59">
            <v>3</v>
          </cell>
          <cell r="I59">
            <v>1</v>
          </cell>
          <cell r="J59">
            <v>368640</v>
          </cell>
          <cell r="L59">
            <v>0</v>
          </cell>
          <cell r="M59">
            <v>0</v>
          </cell>
          <cell r="N59">
            <v>1</v>
          </cell>
          <cell r="O59">
            <v>34</v>
          </cell>
          <cell r="P59">
            <v>8</v>
          </cell>
          <cell r="Q59">
            <v>2553308</v>
          </cell>
        </row>
        <row r="60">
          <cell r="C60">
            <v>3.94</v>
          </cell>
          <cell r="D60">
            <v>151373</v>
          </cell>
          <cell r="E60">
            <v>26.36</v>
          </cell>
          <cell r="F60">
            <v>1012024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>
            <v>3.86</v>
          </cell>
          <cell r="D61">
            <v>1307507</v>
          </cell>
          <cell r="E61">
            <v>5.41</v>
          </cell>
          <cell r="F61">
            <v>1832542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9.47</v>
          </cell>
          <cell r="M61">
            <v>2717505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>
            <v>3.27</v>
          </cell>
          <cell r="D62">
            <v>195408</v>
          </cell>
          <cell r="E62">
            <v>2.98</v>
          </cell>
          <cell r="F62">
            <v>178069</v>
          </cell>
          <cell r="G62">
            <v>1.52</v>
          </cell>
          <cell r="H62">
            <v>1.72</v>
          </cell>
          <cell r="I62">
            <v>9</v>
          </cell>
          <cell r="J62">
            <v>93224</v>
          </cell>
          <cell r="L62">
            <v>7</v>
          </cell>
          <cell r="M62">
            <v>418585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4.4</v>
          </cell>
          <cell r="D63">
            <v>780971</v>
          </cell>
          <cell r="E63">
            <v>35</v>
          </cell>
          <cell r="F63">
            <v>6211310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1.33</v>
          </cell>
          <cell r="M63">
            <v>236215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>
            <v>3.7</v>
          </cell>
          <cell r="D64">
            <v>294192</v>
          </cell>
          <cell r="E64">
            <v>7.17</v>
          </cell>
          <cell r="F64">
            <v>583816</v>
          </cell>
          <cell r="G64">
            <v>12.59</v>
          </cell>
          <cell r="H64">
            <v>14.53</v>
          </cell>
          <cell r="I64">
            <v>9</v>
          </cell>
          <cell r="J64">
            <v>1080266</v>
          </cell>
          <cell r="L64">
            <v>0</v>
          </cell>
          <cell r="M64">
            <v>0</v>
          </cell>
          <cell r="N64">
            <v>3.5</v>
          </cell>
          <cell r="O64">
            <v>70</v>
          </cell>
          <cell r="P64">
            <v>9</v>
          </cell>
          <cell r="Q64">
            <v>1263570</v>
          </cell>
        </row>
        <row r="65">
          <cell r="C65">
            <v>3.91</v>
          </cell>
          <cell r="D65">
            <v>165981</v>
          </cell>
          <cell r="E65">
            <v>15.07</v>
          </cell>
          <cell r="F65">
            <v>639726</v>
          </cell>
          <cell r="G65">
            <v>5.12</v>
          </cell>
          <cell r="H65">
            <v>5.12</v>
          </cell>
          <cell r="I65">
            <v>1</v>
          </cell>
          <cell r="J65">
            <v>13360</v>
          </cell>
          <cell r="L65">
            <v>0</v>
          </cell>
          <cell r="M65">
            <v>0</v>
          </cell>
          <cell r="N65">
            <v>18</v>
          </cell>
          <cell r="O65">
            <v>42</v>
          </cell>
          <cell r="P65">
            <v>2</v>
          </cell>
          <cell r="Q65">
            <v>746469</v>
          </cell>
        </row>
        <row r="66">
          <cell r="C66">
            <v>5.77</v>
          </cell>
          <cell r="D66">
            <v>654583</v>
          </cell>
          <cell r="E66">
            <v>13.92</v>
          </cell>
          <cell r="F66">
            <v>2055616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20.5</v>
          </cell>
          <cell r="O66">
            <v>98.23</v>
          </cell>
          <cell r="P66">
            <v>7</v>
          </cell>
          <cell r="Q66">
            <v>1726085</v>
          </cell>
        </row>
        <row r="67">
          <cell r="C67">
            <v>4.39</v>
          </cell>
          <cell r="D67">
            <v>721217</v>
          </cell>
          <cell r="E67">
            <v>15</v>
          </cell>
          <cell r="F67">
            <v>2464291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15</v>
          </cell>
          <cell r="M67">
            <v>2464291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>
            <v>6.34</v>
          </cell>
          <cell r="D68">
            <v>182254</v>
          </cell>
          <cell r="E68">
            <v>17.42</v>
          </cell>
          <cell r="F68">
            <v>500766</v>
          </cell>
          <cell r="G68">
            <v>5</v>
          </cell>
          <cell r="H68">
            <v>5</v>
          </cell>
          <cell r="I68">
            <v>1</v>
          </cell>
          <cell r="J68">
            <v>49143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>
            <v>4.46</v>
          </cell>
          <cell r="D69">
            <v>1251278</v>
          </cell>
          <cell r="E69">
            <v>14.75</v>
          </cell>
          <cell r="F69">
            <v>4138190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4</v>
          </cell>
          <cell r="M69">
            <v>1122648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>
            <v>4.66</v>
          </cell>
          <cell r="D70">
            <v>205942</v>
          </cell>
          <cell r="E70">
            <v>16.28</v>
          </cell>
          <cell r="F70">
            <v>722282</v>
          </cell>
          <cell r="G70">
            <v>3</v>
          </cell>
          <cell r="H70">
            <v>3</v>
          </cell>
          <cell r="I70">
            <v>1</v>
          </cell>
          <cell r="J70">
            <v>87333</v>
          </cell>
          <cell r="L70">
            <v>0</v>
          </cell>
          <cell r="M70">
            <v>0</v>
          </cell>
          <cell r="N70">
            <v>28</v>
          </cell>
          <cell r="O70">
            <v>41</v>
          </cell>
          <cell r="P70">
            <v>4</v>
          </cell>
          <cell r="Q70">
            <v>1252347</v>
          </cell>
        </row>
        <row r="71">
          <cell r="C71">
            <v>6.44</v>
          </cell>
          <cell r="D71">
            <v>1658113</v>
          </cell>
          <cell r="E71">
            <v>20.25</v>
          </cell>
          <cell r="F71">
            <v>5290822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21.25</v>
          </cell>
          <cell r="M71">
            <v>5512886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>
            <v>6.44</v>
          </cell>
          <cell r="D72">
            <v>253715</v>
          </cell>
          <cell r="E72">
            <v>44.38</v>
          </cell>
          <cell r="F72">
            <v>1754960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</sheetData>
      <sheetData sheetId="3">
        <row r="8">
          <cell r="C8">
            <v>0.01</v>
          </cell>
          <cell r="D8">
            <v>5615506</v>
          </cell>
          <cell r="E8">
            <v>0</v>
          </cell>
        </row>
        <row r="9">
          <cell r="C9">
            <v>0.02</v>
          </cell>
          <cell r="D9">
            <v>3522058</v>
          </cell>
          <cell r="E9">
            <v>0</v>
          </cell>
        </row>
        <row r="10">
          <cell r="C10">
            <v>0.02</v>
          </cell>
          <cell r="D10">
            <v>31262503</v>
          </cell>
          <cell r="E10">
            <v>0</v>
          </cell>
        </row>
        <row r="11">
          <cell r="C11">
            <v>0.025</v>
          </cell>
          <cell r="D11">
            <v>3299952</v>
          </cell>
          <cell r="E11">
            <v>824973</v>
          </cell>
        </row>
        <row r="12">
          <cell r="C12">
            <v>0.015</v>
          </cell>
          <cell r="D12">
            <v>4118214</v>
          </cell>
          <cell r="E12">
            <v>378300</v>
          </cell>
        </row>
        <row r="13">
          <cell r="C13">
            <v>0.02</v>
          </cell>
          <cell r="D13">
            <v>6782231</v>
          </cell>
          <cell r="E13">
            <v>0</v>
          </cell>
        </row>
        <row r="14">
          <cell r="C14">
            <v>0.02</v>
          </cell>
          <cell r="D14">
            <v>3309149</v>
          </cell>
          <cell r="E14">
            <v>0</v>
          </cell>
        </row>
        <row r="15">
          <cell r="C15">
            <v>0.015</v>
          </cell>
          <cell r="D15">
            <v>22404446</v>
          </cell>
          <cell r="E15">
            <v>0</v>
          </cell>
        </row>
        <row r="16">
          <cell r="C16">
            <v>0.015</v>
          </cell>
          <cell r="D16">
            <v>51775585</v>
          </cell>
          <cell r="E16">
            <v>0</v>
          </cell>
        </row>
        <row r="17">
          <cell r="C17">
            <v>0.02</v>
          </cell>
          <cell r="D17">
            <v>61543820</v>
          </cell>
          <cell r="E17">
            <v>0</v>
          </cell>
        </row>
        <row r="18">
          <cell r="C18">
            <v>0.02</v>
          </cell>
          <cell r="D18">
            <v>1256961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0.02</v>
          </cell>
          <cell r="D20">
            <v>1398981</v>
          </cell>
          <cell r="E20">
            <v>0</v>
          </cell>
        </row>
        <row r="21">
          <cell r="C21">
            <v>0.02</v>
          </cell>
          <cell r="D21">
            <v>2494549</v>
          </cell>
          <cell r="E21">
            <v>0</v>
          </cell>
        </row>
        <row r="22">
          <cell r="C22">
            <v>0.02</v>
          </cell>
          <cell r="D22">
            <v>3100950</v>
          </cell>
          <cell r="E22">
            <v>0</v>
          </cell>
        </row>
        <row r="23">
          <cell r="C23">
            <v>0.02</v>
          </cell>
          <cell r="D23">
            <v>3934651</v>
          </cell>
          <cell r="E23">
            <v>1020424</v>
          </cell>
        </row>
        <row r="24">
          <cell r="C24">
            <v>0.02</v>
          </cell>
          <cell r="D24">
            <v>122942143</v>
          </cell>
          <cell r="E24">
            <v>0</v>
          </cell>
        </row>
        <row r="25">
          <cell r="C25">
            <v>0.03</v>
          </cell>
          <cell r="D25">
            <v>1478531</v>
          </cell>
          <cell r="E25">
            <v>0</v>
          </cell>
          <cell r="L25">
            <v>16245350</v>
          </cell>
        </row>
        <row r="26">
          <cell r="C26">
            <v>0.02</v>
          </cell>
          <cell r="D26">
            <v>1122495</v>
          </cell>
          <cell r="E26">
            <v>1119791</v>
          </cell>
        </row>
        <row r="27">
          <cell r="C27">
            <v>0.01</v>
          </cell>
          <cell r="D27">
            <v>2419130</v>
          </cell>
          <cell r="E27">
            <v>0</v>
          </cell>
        </row>
        <row r="28">
          <cell r="C28">
            <v>0.015</v>
          </cell>
          <cell r="D28">
            <v>2598424</v>
          </cell>
          <cell r="E28">
            <v>0</v>
          </cell>
        </row>
        <row r="29">
          <cell r="C29">
            <v>0.01</v>
          </cell>
          <cell r="D29">
            <v>761276</v>
          </cell>
          <cell r="E29">
            <v>0</v>
          </cell>
        </row>
        <row r="30">
          <cell r="C30">
            <v>0.02</v>
          </cell>
          <cell r="D30">
            <v>18640252</v>
          </cell>
          <cell r="E30">
            <v>629433</v>
          </cell>
        </row>
        <row r="31">
          <cell r="C31">
            <v>0.0167</v>
          </cell>
          <cell r="D31">
            <v>9375137</v>
          </cell>
          <cell r="E31">
            <v>0</v>
          </cell>
        </row>
        <row r="32">
          <cell r="C32">
            <v>0.03</v>
          </cell>
          <cell r="D32">
            <v>4369762</v>
          </cell>
          <cell r="E32">
            <v>0</v>
          </cell>
        </row>
        <row r="33">
          <cell r="C33">
            <v>0.02</v>
          </cell>
          <cell r="D33">
            <v>142991663</v>
          </cell>
          <cell r="E33">
            <v>0</v>
          </cell>
        </row>
        <row r="34">
          <cell r="C34">
            <v>0.02</v>
          </cell>
          <cell r="D34">
            <v>6694984</v>
          </cell>
          <cell r="E34">
            <v>0</v>
          </cell>
        </row>
        <row r="35">
          <cell r="C35">
            <v>0.015</v>
          </cell>
          <cell r="D35">
            <v>43184730</v>
          </cell>
          <cell r="E35">
            <v>8801977</v>
          </cell>
        </row>
        <row r="36">
          <cell r="C36">
            <v>0.02</v>
          </cell>
          <cell r="D36">
            <v>18235375</v>
          </cell>
          <cell r="E36">
            <v>0</v>
          </cell>
        </row>
        <row r="37">
          <cell r="C37">
            <v>0.02</v>
          </cell>
          <cell r="D37">
            <v>2725914</v>
          </cell>
          <cell r="E37">
            <v>0</v>
          </cell>
        </row>
        <row r="38">
          <cell r="C38">
            <v>0.02</v>
          </cell>
          <cell r="D38">
            <v>9463006</v>
          </cell>
          <cell r="E38">
            <v>0</v>
          </cell>
        </row>
        <row r="39">
          <cell r="C39">
            <v>0.025</v>
          </cell>
          <cell r="D39">
            <v>17533842</v>
          </cell>
          <cell r="E39">
            <v>0</v>
          </cell>
        </row>
        <row r="40">
          <cell r="C40">
            <v>0.015</v>
          </cell>
          <cell r="D40">
            <v>1342990</v>
          </cell>
          <cell r="E40">
            <v>0</v>
          </cell>
        </row>
        <row r="41">
          <cell r="C41">
            <v>0.015</v>
          </cell>
          <cell r="D41">
            <v>4128252</v>
          </cell>
          <cell r="E41">
            <v>0</v>
          </cell>
        </row>
        <row r="42">
          <cell r="C42">
            <v>0.015</v>
          </cell>
          <cell r="D42">
            <v>6447955</v>
          </cell>
          <cell r="E42">
            <v>0</v>
          </cell>
        </row>
        <row r="43">
          <cell r="C43">
            <v>0.015</v>
          </cell>
          <cell r="D43">
            <v>82745468</v>
          </cell>
          <cell r="E43">
            <v>8183618</v>
          </cell>
        </row>
        <row r="44">
          <cell r="C44">
            <v>0.03</v>
          </cell>
          <cell r="D44">
            <v>28446972</v>
          </cell>
          <cell r="E44">
            <v>0</v>
          </cell>
        </row>
        <row r="45">
          <cell r="C45">
            <v>0.02</v>
          </cell>
          <cell r="D45">
            <v>10239025</v>
          </cell>
          <cell r="E45">
            <v>1117156</v>
          </cell>
        </row>
        <row r="46">
          <cell r="C46">
            <v>0.02</v>
          </cell>
          <cell r="D46">
            <v>5231414</v>
          </cell>
          <cell r="E46">
            <v>0</v>
          </cell>
        </row>
        <row r="47">
          <cell r="C47">
            <v>0.015</v>
          </cell>
          <cell r="D47">
            <v>27750776</v>
          </cell>
          <cell r="E47">
            <v>0</v>
          </cell>
        </row>
        <row r="48">
          <cell r="C48">
            <v>0.02</v>
          </cell>
          <cell r="D48">
            <v>1155689</v>
          </cell>
          <cell r="E48">
            <v>0</v>
          </cell>
        </row>
        <row r="49">
          <cell r="C49">
            <v>0.0188</v>
          </cell>
          <cell r="D49">
            <v>2934287</v>
          </cell>
          <cell r="E49">
            <v>0</v>
          </cell>
        </row>
        <row r="50">
          <cell r="C50">
            <v>0.015</v>
          </cell>
          <cell r="D50">
            <v>2998573</v>
          </cell>
          <cell r="E50">
            <v>0</v>
          </cell>
        </row>
        <row r="51">
          <cell r="C51">
            <v>0.02</v>
          </cell>
          <cell r="D51">
            <v>12634924</v>
          </cell>
          <cell r="E51">
            <v>601614</v>
          </cell>
        </row>
        <row r="52">
          <cell r="C52">
            <v>0.02</v>
          </cell>
          <cell r="D52">
            <v>16871427</v>
          </cell>
          <cell r="E52">
            <v>1367916</v>
          </cell>
        </row>
        <row r="53">
          <cell r="C53">
            <v>0.02</v>
          </cell>
          <cell r="D53">
            <v>936627</v>
          </cell>
          <cell r="E53">
            <v>0</v>
          </cell>
        </row>
        <row r="54">
          <cell r="C54">
            <v>0.02</v>
          </cell>
          <cell r="D54">
            <v>8745885</v>
          </cell>
          <cell r="E54">
            <v>0</v>
          </cell>
        </row>
        <row r="55">
          <cell r="C55">
            <v>0.0213</v>
          </cell>
          <cell r="D55">
            <v>12315826</v>
          </cell>
          <cell r="E55">
            <v>0</v>
          </cell>
        </row>
        <row r="56">
          <cell r="C56">
            <v>0.02</v>
          </cell>
          <cell r="D56">
            <v>12851400</v>
          </cell>
          <cell r="E56">
            <v>0</v>
          </cell>
        </row>
        <row r="57">
          <cell r="C57">
            <v>0.02</v>
          </cell>
          <cell r="D57">
            <v>7078154</v>
          </cell>
          <cell r="E57">
            <v>0</v>
          </cell>
        </row>
        <row r="58">
          <cell r="C58">
            <v>0.0175</v>
          </cell>
          <cell r="D58">
            <v>11516540</v>
          </cell>
          <cell r="E58">
            <v>0</v>
          </cell>
        </row>
        <row r="59">
          <cell r="C59">
            <v>0.02</v>
          </cell>
          <cell r="D59">
            <v>46805600</v>
          </cell>
          <cell r="E59">
            <v>1990000</v>
          </cell>
        </row>
        <row r="60">
          <cell r="C60">
            <v>0.02</v>
          </cell>
          <cell r="D60">
            <v>18154926</v>
          </cell>
          <cell r="E60">
            <v>3276409</v>
          </cell>
        </row>
        <row r="61">
          <cell r="C61">
            <v>0.015</v>
          </cell>
          <cell r="D61">
            <v>569950</v>
          </cell>
          <cell r="E61">
            <v>0</v>
          </cell>
        </row>
        <row r="62">
          <cell r="C62">
            <v>0.0208</v>
          </cell>
          <cell r="D62">
            <v>32159645</v>
          </cell>
          <cell r="E62">
            <v>0</v>
          </cell>
        </row>
        <row r="63">
          <cell r="C63">
            <v>0.0125</v>
          </cell>
          <cell r="D63">
            <v>2023204</v>
          </cell>
          <cell r="E63">
            <v>0</v>
          </cell>
        </row>
        <row r="64">
          <cell r="C64">
            <v>0.01</v>
          </cell>
          <cell r="D64">
            <v>5423279</v>
          </cell>
          <cell r="E64">
            <v>0</v>
          </cell>
        </row>
        <row r="65">
          <cell r="C65">
            <v>0.02</v>
          </cell>
          <cell r="D65">
            <v>7957256</v>
          </cell>
          <cell r="E65">
            <v>0</v>
          </cell>
        </row>
        <row r="66">
          <cell r="C66">
            <v>0.02</v>
          </cell>
          <cell r="D66">
            <v>3240777</v>
          </cell>
          <cell r="E66">
            <v>0</v>
          </cell>
        </row>
        <row r="67">
          <cell r="C67">
            <v>0.02</v>
          </cell>
          <cell r="D67">
            <v>9661575</v>
          </cell>
          <cell r="E67">
            <v>0</v>
          </cell>
        </row>
        <row r="68">
          <cell r="C68">
            <v>0.02</v>
          </cell>
          <cell r="D68">
            <v>7931577</v>
          </cell>
          <cell r="E68">
            <v>0</v>
          </cell>
        </row>
        <row r="69">
          <cell r="C69">
            <v>0.01</v>
          </cell>
          <cell r="D69">
            <v>879777</v>
          </cell>
          <cell r="E69">
            <v>0</v>
          </cell>
        </row>
        <row r="70">
          <cell r="C70">
            <v>0.02</v>
          </cell>
          <cell r="D70">
            <v>3353018</v>
          </cell>
          <cell r="E70">
            <v>0</v>
          </cell>
        </row>
        <row r="71">
          <cell r="C71">
            <v>0.02</v>
          </cell>
          <cell r="D71">
            <v>3145873</v>
          </cell>
          <cell r="E71">
            <v>0</v>
          </cell>
        </row>
        <row r="72">
          <cell r="C72">
            <v>0.01</v>
          </cell>
          <cell r="D72">
            <v>10006857</v>
          </cell>
          <cell r="E72">
            <v>0</v>
          </cell>
        </row>
        <row r="73">
          <cell r="C73">
            <v>0.01</v>
          </cell>
          <cell r="D73">
            <v>2060736</v>
          </cell>
          <cell r="E73">
            <v>0</v>
          </cell>
        </row>
      </sheetData>
      <sheetData sheetId="4">
        <row r="8">
          <cell r="N8">
            <v>415399</v>
          </cell>
        </row>
        <row r="9">
          <cell r="N9">
            <v>100015</v>
          </cell>
        </row>
        <row r="10">
          <cell r="N10">
            <v>173623.5</v>
          </cell>
        </row>
        <row r="11">
          <cell r="N11">
            <v>260808.5</v>
          </cell>
        </row>
        <row r="12">
          <cell r="N12">
            <v>302099.5</v>
          </cell>
        </row>
        <row r="13">
          <cell r="N13">
            <v>283064.5</v>
          </cell>
        </row>
        <row r="14">
          <cell r="N14">
            <v>140953.5</v>
          </cell>
        </row>
        <row r="15">
          <cell r="N15">
            <v>566601</v>
          </cell>
        </row>
        <row r="16">
          <cell r="N16">
            <v>2323830</v>
          </cell>
        </row>
        <row r="17">
          <cell r="N17">
            <v>1021699.5</v>
          </cell>
        </row>
        <row r="18">
          <cell r="N18">
            <v>86709.5</v>
          </cell>
        </row>
        <row r="19">
          <cell r="N19">
            <v>827476</v>
          </cell>
        </row>
        <row r="20">
          <cell r="N20">
            <v>95502.5</v>
          </cell>
        </row>
        <row r="21">
          <cell r="N21">
            <v>174260.5</v>
          </cell>
        </row>
        <row r="22">
          <cell r="N22">
            <v>175240.5</v>
          </cell>
        </row>
        <row r="23">
          <cell r="N23">
            <v>323862</v>
          </cell>
        </row>
        <row r="24">
          <cell r="N24">
            <v>3901160</v>
          </cell>
        </row>
        <row r="25">
          <cell r="N25">
            <v>76134.5</v>
          </cell>
        </row>
        <row r="26">
          <cell r="N26">
            <v>79375.5</v>
          </cell>
        </row>
        <row r="27">
          <cell r="N27">
            <v>234613.5</v>
          </cell>
        </row>
        <row r="28">
          <cell r="N28">
            <v>178834</v>
          </cell>
        </row>
        <row r="29">
          <cell r="N29">
            <v>363306.5</v>
          </cell>
        </row>
        <row r="30">
          <cell r="N30">
            <v>645741</v>
          </cell>
        </row>
        <row r="31">
          <cell r="N31">
            <v>179180</v>
          </cell>
        </row>
        <row r="32">
          <cell r="N32">
            <v>101670.5</v>
          </cell>
        </row>
        <row r="33">
          <cell r="N33">
            <v>2033561.5</v>
          </cell>
        </row>
        <row r="34">
          <cell r="N34">
            <v>305832</v>
          </cell>
        </row>
        <row r="35">
          <cell r="N35">
            <v>2188507</v>
          </cell>
        </row>
        <row r="36">
          <cell r="N36">
            <v>1256133.5</v>
          </cell>
        </row>
        <row r="37">
          <cell r="N37">
            <v>71122</v>
          </cell>
        </row>
        <row r="38">
          <cell r="N38">
            <v>277291</v>
          </cell>
        </row>
        <row r="39">
          <cell r="N39">
            <v>707868.5</v>
          </cell>
        </row>
        <row r="40">
          <cell r="N40">
            <v>69004.5</v>
          </cell>
        </row>
        <row r="41">
          <cell r="N41">
            <v>295833.5</v>
          </cell>
        </row>
        <row r="42">
          <cell r="N42">
            <v>486790.5</v>
          </cell>
        </row>
        <row r="43">
          <cell r="N43">
            <v>3358797</v>
          </cell>
        </row>
        <row r="44">
          <cell r="N44">
            <v>776833</v>
          </cell>
        </row>
        <row r="45">
          <cell r="N45">
            <v>149852</v>
          </cell>
        </row>
        <row r="46">
          <cell r="N46">
            <v>161239</v>
          </cell>
        </row>
        <row r="47">
          <cell r="N47">
            <v>1110582</v>
          </cell>
        </row>
        <row r="48">
          <cell r="N48">
            <v>48521.5</v>
          </cell>
        </row>
        <row r="49">
          <cell r="N49">
            <v>246118.5</v>
          </cell>
        </row>
        <row r="50">
          <cell r="N50">
            <v>161290</v>
          </cell>
        </row>
        <row r="51">
          <cell r="N51">
            <v>357711</v>
          </cell>
        </row>
        <row r="52">
          <cell r="N52">
            <v>287028</v>
          </cell>
        </row>
        <row r="53">
          <cell r="N53">
            <v>31084</v>
          </cell>
        </row>
        <row r="54">
          <cell r="N54">
            <v>90522</v>
          </cell>
        </row>
        <row r="55">
          <cell r="N55">
            <v>213370</v>
          </cell>
        </row>
        <row r="56">
          <cell r="N56">
            <v>668487</v>
          </cell>
        </row>
        <row r="57">
          <cell r="N57">
            <v>645634.5</v>
          </cell>
        </row>
        <row r="58">
          <cell r="N58">
            <v>576050.5</v>
          </cell>
        </row>
        <row r="59">
          <cell r="N59">
            <v>1802063</v>
          </cell>
        </row>
        <row r="60">
          <cell r="N60">
            <v>108021</v>
          </cell>
        </row>
        <row r="61">
          <cell r="N61">
            <v>65332.5</v>
          </cell>
        </row>
        <row r="62">
          <cell r="N62">
            <v>519363.5</v>
          </cell>
        </row>
        <row r="63">
          <cell r="N63">
            <v>163760.5</v>
          </cell>
        </row>
        <row r="64">
          <cell r="N64">
            <v>3218052.5</v>
          </cell>
        </row>
        <row r="65">
          <cell r="N65">
            <v>487184</v>
          </cell>
        </row>
        <row r="66">
          <cell r="N66">
            <v>146703</v>
          </cell>
        </row>
        <row r="67">
          <cell r="N67">
            <v>580382</v>
          </cell>
        </row>
        <row r="68">
          <cell r="N68">
            <v>137256</v>
          </cell>
        </row>
        <row r="69">
          <cell r="N69">
            <v>117485</v>
          </cell>
        </row>
        <row r="70">
          <cell r="N70">
            <v>60430</v>
          </cell>
        </row>
        <row r="71">
          <cell r="N71">
            <v>310666.5</v>
          </cell>
        </row>
        <row r="72">
          <cell r="N72">
            <v>336416</v>
          </cell>
        </row>
        <row r="73">
          <cell r="N73">
            <v>252406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1Tab7"/>
    </sheetNames>
    <sheetDataSet>
      <sheetData sheetId="0">
        <row r="10">
          <cell r="B10">
            <v>50</v>
          </cell>
          <cell r="C10">
            <v>79</v>
          </cell>
          <cell r="D10">
            <v>751</v>
          </cell>
          <cell r="E10">
            <v>851</v>
          </cell>
          <cell r="F10">
            <v>690</v>
          </cell>
          <cell r="G10">
            <v>788</v>
          </cell>
          <cell r="H10">
            <v>843</v>
          </cell>
          <cell r="I10">
            <v>742</v>
          </cell>
          <cell r="J10">
            <v>799</v>
          </cell>
          <cell r="K10">
            <v>772</v>
          </cell>
          <cell r="L10">
            <v>724</v>
          </cell>
          <cell r="M10">
            <v>695</v>
          </cell>
          <cell r="N10">
            <v>627</v>
          </cell>
          <cell r="O10">
            <v>601</v>
          </cell>
          <cell r="P10">
            <v>510</v>
          </cell>
          <cell r="S10">
            <v>63</v>
          </cell>
        </row>
        <row r="11">
          <cell r="B11">
            <v>2</v>
          </cell>
          <cell r="C11">
            <v>21</v>
          </cell>
          <cell r="D11">
            <v>317</v>
          </cell>
          <cell r="E11">
            <v>372</v>
          </cell>
          <cell r="F11">
            <v>329</v>
          </cell>
          <cell r="G11">
            <v>319</v>
          </cell>
          <cell r="H11">
            <v>334</v>
          </cell>
          <cell r="I11">
            <v>332</v>
          </cell>
          <cell r="J11">
            <v>360</v>
          </cell>
          <cell r="K11">
            <v>331</v>
          </cell>
          <cell r="L11">
            <v>372</v>
          </cell>
          <cell r="M11">
            <v>309</v>
          </cell>
          <cell r="N11">
            <v>246</v>
          </cell>
          <cell r="O11">
            <v>267</v>
          </cell>
          <cell r="P11">
            <v>224</v>
          </cell>
          <cell r="S11">
            <v>17</v>
          </cell>
        </row>
        <row r="12">
          <cell r="B12">
            <v>56</v>
          </cell>
          <cell r="C12">
            <v>148</v>
          </cell>
          <cell r="D12">
            <v>1303</v>
          </cell>
          <cell r="E12">
            <v>1269</v>
          </cell>
          <cell r="F12">
            <v>1180</v>
          </cell>
          <cell r="G12">
            <v>1278</v>
          </cell>
          <cell r="H12">
            <v>1218</v>
          </cell>
          <cell r="I12">
            <v>1248</v>
          </cell>
          <cell r="J12">
            <v>1136</v>
          </cell>
          <cell r="K12">
            <v>1137</v>
          </cell>
          <cell r="L12">
            <v>1137</v>
          </cell>
          <cell r="M12">
            <v>1095</v>
          </cell>
          <cell r="N12">
            <v>964</v>
          </cell>
          <cell r="O12">
            <v>921</v>
          </cell>
          <cell r="P12">
            <v>866</v>
          </cell>
          <cell r="S12">
            <v>3</v>
          </cell>
        </row>
        <row r="13">
          <cell r="B13">
            <v>19</v>
          </cell>
          <cell r="C13">
            <v>76</v>
          </cell>
          <cell r="D13">
            <v>305</v>
          </cell>
          <cell r="E13">
            <v>372</v>
          </cell>
          <cell r="F13">
            <v>319</v>
          </cell>
          <cell r="G13">
            <v>384</v>
          </cell>
          <cell r="H13">
            <v>379</v>
          </cell>
          <cell r="I13">
            <v>309</v>
          </cell>
          <cell r="J13">
            <v>359</v>
          </cell>
          <cell r="K13">
            <v>385</v>
          </cell>
          <cell r="L13">
            <v>369</v>
          </cell>
          <cell r="M13">
            <v>419</v>
          </cell>
          <cell r="N13">
            <v>267</v>
          </cell>
          <cell r="O13">
            <v>245</v>
          </cell>
          <cell r="P13">
            <v>203</v>
          </cell>
        </row>
        <row r="14">
          <cell r="B14">
            <v>36</v>
          </cell>
          <cell r="C14">
            <v>48</v>
          </cell>
          <cell r="D14">
            <v>515</v>
          </cell>
          <cell r="E14">
            <v>534</v>
          </cell>
          <cell r="F14">
            <v>457</v>
          </cell>
          <cell r="G14">
            <v>472</v>
          </cell>
          <cell r="H14">
            <v>475</v>
          </cell>
          <cell r="I14">
            <v>533</v>
          </cell>
          <cell r="J14">
            <v>473</v>
          </cell>
          <cell r="K14">
            <v>482</v>
          </cell>
          <cell r="L14">
            <v>652</v>
          </cell>
          <cell r="M14">
            <v>532</v>
          </cell>
          <cell r="N14">
            <v>456</v>
          </cell>
          <cell r="O14">
            <v>414</v>
          </cell>
          <cell r="P14">
            <v>409</v>
          </cell>
          <cell r="S14">
            <v>136</v>
          </cell>
        </row>
        <row r="15">
          <cell r="C15">
            <v>59</v>
          </cell>
          <cell r="D15">
            <v>468</v>
          </cell>
          <cell r="E15">
            <v>438</v>
          </cell>
          <cell r="F15">
            <v>454</v>
          </cell>
          <cell r="G15">
            <v>492</v>
          </cell>
          <cell r="H15">
            <v>480</v>
          </cell>
          <cell r="I15">
            <v>478</v>
          </cell>
          <cell r="J15">
            <v>504</v>
          </cell>
          <cell r="K15">
            <v>475</v>
          </cell>
          <cell r="L15">
            <v>468</v>
          </cell>
          <cell r="M15">
            <v>477</v>
          </cell>
          <cell r="N15">
            <v>445</v>
          </cell>
          <cell r="O15">
            <v>378</v>
          </cell>
          <cell r="P15">
            <v>393</v>
          </cell>
        </row>
        <row r="16">
          <cell r="C16">
            <v>17</v>
          </cell>
          <cell r="D16">
            <v>184</v>
          </cell>
          <cell r="E16">
            <v>183</v>
          </cell>
          <cell r="F16">
            <v>182</v>
          </cell>
          <cell r="G16">
            <v>216</v>
          </cell>
          <cell r="H16">
            <v>214</v>
          </cell>
          <cell r="I16">
            <v>186</v>
          </cell>
          <cell r="J16">
            <v>196</v>
          </cell>
          <cell r="K16">
            <v>181</v>
          </cell>
          <cell r="L16">
            <v>236</v>
          </cell>
          <cell r="M16">
            <v>180</v>
          </cell>
          <cell r="N16">
            <v>193</v>
          </cell>
          <cell r="O16">
            <v>174</v>
          </cell>
          <cell r="P16">
            <v>150</v>
          </cell>
        </row>
        <row r="17">
          <cell r="C17">
            <v>155</v>
          </cell>
          <cell r="D17">
            <v>1510</v>
          </cell>
          <cell r="E17">
            <v>1487</v>
          </cell>
          <cell r="F17">
            <v>1352</v>
          </cell>
          <cell r="G17">
            <v>1391</v>
          </cell>
          <cell r="H17">
            <v>1555</v>
          </cell>
          <cell r="I17">
            <v>1488</v>
          </cell>
          <cell r="J17">
            <v>1426</v>
          </cell>
          <cell r="K17">
            <v>1436</v>
          </cell>
          <cell r="L17">
            <v>1643</v>
          </cell>
          <cell r="M17">
            <v>1455</v>
          </cell>
          <cell r="N17">
            <v>1322</v>
          </cell>
          <cell r="O17">
            <v>1170</v>
          </cell>
          <cell r="P17">
            <v>1107</v>
          </cell>
        </row>
        <row r="18">
          <cell r="B18">
            <v>6</v>
          </cell>
          <cell r="C18">
            <v>356</v>
          </cell>
          <cell r="D18">
            <v>3284</v>
          </cell>
          <cell r="E18">
            <v>3360</v>
          </cell>
          <cell r="F18">
            <v>3253</v>
          </cell>
          <cell r="G18">
            <v>3417</v>
          </cell>
          <cell r="H18">
            <v>4072</v>
          </cell>
          <cell r="I18">
            <v>3567</v>
          </cell>
          <cell r="J18">
            <v>3191</v>
          </cell>
          <cell r="K18">
            <v>3517</v>
          </cell>
          <cell r="L18">
            <v>4041</v>
          </cell>
          <cell r="M18">
            <v>3457</v>
          </cell>
          <cell r="N18">
            <v>3143</v>
          </cell>
          <cell r="O18">
            <v>2876</v>
          </cell>
          <cell r="P18">
            <v>2413</v>
          </cell>
        </row>
        <row r="19">
          <cell r="C19">
            <v>299</v>
          </cell>
          <cell r="D19">
            <v>2426</v>
          </cell>
          <cell r="E19">
            <v>2613</v>
          </cell>
          <cell r="F19">
            <v>2551</v>
          </cell>
          <cell r="G19">
            <v>2460</v>
          </cell>
          <cell r="H19">
            <v>2480</v>
          </cell>
          <cell r="I19">
            <v>2339</v>
          </cell>
          <cell r="J19">
            <v>2485</v>
          </cell>
          <cell r="K19">
            <v>2391</v>
          </cell>
          <cell r="L19">
            <v>2487</v>
          </cell>
          <cell r="M19">
            <v>2526</v>
          </cell>
          <cell r="N19">
            <v>2221</v>
          </cell>
          <cell r="O19">
            <v>2065</v>
          </cell>
          <cell r="P19">
            <v>1934</v>
          </cell>
          <cell r="S19">
            <v>163</v>
          </cell>
        </row>
        <row r="20">
          <cell r="C20">
            <v>32</v>
          </cell>
          <cell r="D20">
            <v>141</v>
          </cell>
          <cell r="E20">
            <v>138</v>
          </cell>
          <cell r="F20">
            <v>131</v>
          </cell>
          <cell r="G20">
            <v>152</v>
          </cell>
          <cell r="H20">
            <v>159</v>
          </cell>
          <cell r="I20">
            <v>156</v>
          </cell>
          <cell r="J20">
            <v>127</v>
          </cell>
          <cell r="K20">
            <v>159</v>
          </cell>
          <cell r="L20">
            <v>145</v>
          </cell>
          <cell r="M20">
            <v>154</v>
          </cell>
          <cell r="N20">
            <v>130</v>
          </cell>
          <cell r="O20">
            <v>116</v>
          </cell>
          <cell r="P20">
            <v>78</v>
          </cell>
          <cell r="S20">
            <v>10</v>
          </cell>
        </row>
        <row r="21">
          <cell r="C21">
            <v>26</v>
          </cell>
          <cell r="D21">
            <v>128</v>
          </cell>
          <cell r="E21">
            <v>152</v>
          </cell>
          <cell r="F21">
            <v>143</v>
          </cell>
          <cell r="G21">
            <v>136</v>
          </cell>
          <cell r="H21">
            <v>146</v>
          </cell>
          <cell r="I21">
            <v>143</v>
          </cell>
          <cell r="J21">
            <v>170</v>
          </cell>
          <cell r="K21">
            <v>169</v>
          </cell>
          <cell r="L21">
            <v>156</v>
          </cell>
          <cell r="M21">
            <v>135</v>
          </cell>
          <cell r="N21">
            <v>141</v>
          </cell>
          <cell r="O21">
            <v>134</v>
          </cell>
          <cell r="P21">
            <v>104</v>
          </cell>
          <cell r="S21">
            <v>2</v>
          </cell>
        </row>
        <row r="22">
          <cell r="B22">
            <v>2</v>
          </cell>
          <cell r="C22">
            <v>8</v>
          </cell>
          <cell r="D22">
            <v>126</v>
          </cell>
          <cell r="E22">
            <v>145</v>
          </cell>
          <cell r="F22">
            <v>168</v>
          </cell>
          <cell r="G22">
            <v>149</v>
          </cell>
          <cell r="H22">
            <v>162</v>
          </cell>
          <cell r="I22">
            <v>162</v>
          </cell>
          <cell r="J22">
            <v>130</v>
          </cell>
          <cell r="K22">
            <v>128</v>
          </cell>
          <cell r="L22">
            <v>122</v>
          </cell>
          <cell r="M22">
            <v>141</v>
          </cell>
          <cell r="N22">
            <v>133</v>
          </cell>
          <cell r="O22">
            <v>106</v>
          </cell>
          <cell r="P22">
            <v>104</v>
          </cell>
          <cell r="S22">
            <v>27</v>
          </cell>
        </row>
        <row r="23">
          <cell r="B23">
            <v>8</v>
          </cell>
          <cell r="C23">
            <v>33</v>
          </cell>
          <cell r="D23">
            <v>202</v>
          </cell>
          <cell r="E23">
            <v>192</v>
          </cell>
          <cell r="F23">
            <v>211</v>
          </cell>
          <cell r="G23">
            <v>237</v>
          </cell>
          <cell r="H23">
            <v>234</v>
          </cell>
          <cell r="I23">
            <v>240</v>
          </cell>
          <cell r="J23">
            <v>215</v>
          </cell>
          <cell r="K23">
            <v>223</v>
          </cell>
          <cell r="L23">
            <v>218</v>
          </cell>
          <cell r="M23">
            <v>232</v>
          </cell>
          <cell r="N23">
            <v>166</v>
          </cell>
          <cell r="O23">
            <v>138</v>
          </cell>
          <cell r="P23">
            <v>155</v>
          </cell>
          <cell r="S23">
            <v>8</v>
          </cell>
        </row>
        <row r="24">
          <cell r="B24">
            <v>22</v>
          </cell>
          <cell r="C24">
            <v>34</v>
          </cell>
          <cell r="D24">
            <v>309</v>
          </cell>
          <cell r="E24">
            <v>333</v>
          </cell>
          <cell r="F24">
            <v>311</v>
          </cell>
          <cell r="G24">
            <v>315</v>
          </cell>
          <cell r="H24">
            <v>316</v>
          </cell>
          <cell r="I24">
            <v>285</v>
          </cell>
          <cell r="J24">
            <v>300</v>
          </cell>
          <cell r="K24">
            <v>351</v>
          </cell>
          <cell r="L24">
            <v>285</v>
          </cell>
          <cell r="M24">
            <v>246</v>
          </cell>
          <cell r="N24">
            <v>203</v>
          </cell>
          <cell r="O24">
            <v>235</v>
          </cell>
          <cell r="P24">
            <v>217</v>
          </cell>
          <cell r="S24">
            <v>7</v>
          </cell>
        </row>
        <row r="25">
          <cell r="C25">
            <v>49</v>
          </cell>
          <cell r="D25">
            <v>329</v>
          </cell>
          <cell r="E25">
            <v>371</v>
          </cell>
          <cell r="F25">
            <v>386</v>
          </cell>
          <cell r="G25">
            <v>401</v>
          </cell>
          <cell r="H25">
            <v>420</v>
          </cell>
          <cell r="I25">
            <v>349</v>
          </cell>
          <cell r="J25">
            <v>395</v>
          </cell>
          <cell r="K25">
            <v>426</v>
          </cell>
          <cell r="L25">
            <v>401</v>
          </cell>
          <cell r="M25">
            <v>367</v>
          </cell>
          <cell r="N25">
            <v>308</v>
          </cell>
          <cell r="O25">
            <v>273</v>
          </cell>
          <cell r="P25">
            <v>252</v>
          </cell>
          <cell r="S25">
            <v>83</v>
          </cell>
        </row>
        <row r="26">
          <cell r="B26">
            <v>16</v>
          </cell>
          <cell r="C26">
            <v>82</v>
          </cell>
          <cell r="D26">
            <v>3996</v>
          </cell>
          <cell r="E26">
            <v>4148</v>
          </cell>
          <cell r="F26">
            <v>4098</v>
          </cell>
          <cell r="G26">
            <v>4113</v>
          </cell>
          <cell r="H26">
            <v>4504</v>
          </cell>
          <cell r="I26">
            <v>3834</v>
          </cell>
          <cell r="J26">
            <v>3847</v>
          </cell>
          <cell r="K26">
            <v>4169</v>
          </cell>
          <cell r="L26">
            <v>4656</v>
          </cell>
          <cell r="M26">
            <v>3670</v>
          </cell>
          <cell r="N26">
            <v>3573</v>
          </cell>
          <cell r="O26">
            <v>3349</v>
          </cell>
          <cell r="P26">
            <v>3265</v>
          </cell>
          <cell r="S26">
            <v>3</v>
          </cell>
        </row>
        <row r="27">
          <cell r="C27">
            <v>21</v>
          </cell>
          <cell r="D27">
            <v>138</v>
          </cell>
          <cell r="E27">
            <v>157</v>
          </cell>
          <cell r="F27">
            <v>143</v>
          </cell>
          <cell r="G27">
            <v>145</v>
          </cell>
          <cell r="H27">
            <v>190</v>
          </cell>
          <cell r="I27">
            <v>125</v>
          </cell>
          <cell r="J27">
            <v>126</v>
          </cell>
          <cell r="K27">
            <v>148</v>
          </cell>
          <cell r="L27">
            <v>136</v>
          </cell>
          <cell r="M27">
            <v>101</v>
          </cell>
          <cell r="N27">
            <v>83</v>
          </cell>
          <cell r="O27">
            <v>91</v>
          </cell>
          <cell r="P27">
            <v>101</v>
          </cell>
          <cell r="S27">
            <v>19</v>
          </cell>
        </row>
        <row r="28">
          <cell r="C28">
            <v>13</v>
          </cell>
          <cell r="D28">
            <v>167</v>
          </cell>
          <cell r="E28">
            <v>205</v>
          </cell>
          <cell r="F28">
            <v>198</v>
          </cell>
          <cell r="G28">
            <v>209</v>
          </cell>
          <cell r="H28">
            <v>211</v>
          </cell>
          <cell r="I28">
            <v>168</v>
          </cell>
          <cell r="J28">
            <v>183</v>
          </cell>
          <cell r="K28">
            <v>215</v>
          </cell>
          <cell r="L28">
            <v>219</v>
          </cell>
          <cell r="M28">
            <v>184</v>
          </cell>
          <cell r="N28">
            <v>174</v>
          </cell>
          <cell r="O28">
            <v>175</v>
          </cell>
          <cell r="P28">
            <v>153</v>
          </cell>
        </row>
        <row r="29">
          <cell r="B29">
            <v>21</v>
          </cell>
          <cell r="C29">
            <v>42</v>
          </cell>
          <cell r="D29">
            <v>515</v>
          </cell>
          <cell r="E29">
            <v>519</v>
          </cell>
          <cell r="F29">
            <v>489</v>
          </cell>
          <cell r="G29">
            <v>547</v>
          </cell>
          <cell r="H29">
            <v>554</v>
          </cell>
          <cell r="I29">
            <v>552</v>
          </cell>
          <cell r="J29">
            <v>523</v>
          </cell>
          <cell r="K29">
            <v>518</v>
          </cell>
          <cell r="L29">
            <v>464</v>
          </cell>
          <cell r="M29">
            <v>480</v>
          </cell>
          <cell r="N29">
            <v>308</v>
          </cell>
          <cell r="O29">
            <v>343</v>
          </cell>
          <cell r="P29">
            <v>319</v>
          </cell>
          <cell r="S29">
            <v>38</v>
          </cell>
        </row>
        <row r="30">
          <cell r="B30">
            <v>19</v>
          </cell>
          <cell r="C30">
            <v>42</v>
          </cell>
          <cell r="D30">
            <v>299</v>
          </cell>
          <cell r="E30">
            <v>293</v>
          </cell>
          <cell r="F30">
            <v>297</v>
          </cell>
          <cell r="G30">
            <v>287</v>
          </cell>
          <cell r="H30">
            <v>339</v>
          </cell>
          <cell r="I30">
            <v>257</v>
          </cell>
          <cell r="J30">
            <v>315</v>
          </cell>
          <cell r="K30">
            <v>291</v>
          </cell>
          <cell r="L30">
            <v>339</v>
          </cell>
          <cell r="M30">
            <v>251</v>
          </cell>
          <cell r="N30">
            <v>210</v>
          </cell>
          <cell r="O30">
            <v>206</v>
          </cell>
          <cell r="P30">
            <v>213</v>
          </cell>
          <cell r="S30">
            <v>61</v>
          </cell>
        </row>
        <row r="31">
          <cell r="B31">
            <v>14</v>
          </cell>
          <cell r="C31">
            <v>45</v>
          </cell>
          <cell r="D31">
            <v>274</v>
          </cell>
          <cell r="E31">
            <v>301</v>
          </cell>
          <cell r="F31">
            <v>270</v>
          </cell>
          <cell r="G31">
            <v>306</v>
          </cell>
          <cell r="H31">
            <v>317</v>
          </cell>
          <cell r="I31">
            <v>289</v>
          </cell>
          <cell r="J31">
            <v>261</v>
          </cell>
          <cell r="K31">
            <v>306</v>
          </cell>
          <cell r="L31">
            <v>291</v>
          </cell>
          <cell r="M31">
            <v>307</v>
          </cell>
          <cell r="N31">
            <v>230</v>
          </cell>
          <cell r="O31">
            <v>191</v>
          </cell>
          <cell r="P31">
            <v>195</v>
          </cell>
        </row>
        <row r="32">
          <cell r="B32">
            <v>52</v>
          </cell>
          <cell r="C32">
            <v>120</v>
          </cell>
          <cell r="D32">
            <v>1148</v>
          </cell>
          <cell r="E32">
            <v>1222</v>
          </cell>
          <cell r="F32">
            <v>1050</v>
          </cell>
          <cell r="G32">
            <v>1192</v>
          </cell>
          <cell r="H32">
            <v>1257</v>
          </cell>
          <cell r="I32">
            <v>1054</v>
          </cell>
          <cell r="J32">
            <v>1035</v>
          </cell>
          <cell r="K32">
            <v>1242</v>
          </cell>
          <cell r="L32">
            <v>1141</v>
          </cell>
          <cell r="M32">
            <v>1186</v>
          </cell>
          <cell r="N32">
            <v>901</v>
          </cell>
          <cell r="O32">
            <v>851</v>
          </cell>
          <cell r="P32">
            <v>716</v>
          </cell>
          <cell r="S32">
            <v>181</v>
          </cell>
        </row>
        <row r="33">
          <cell r="B33">
            <v>6</v>
          </cell>
          <cell r="C33">
            <v>25</v>
          </cell>
          <cell r="D33">
            <v>318</v>
          </cell>
          <cell r="E33">
            <v>426</v>
          </cell>
          <cell r="F33">
            <v>415</v>
          </cell>
          <cell r="G33">
            <v>381</v>
          </cell>
          <cell r="H33">
            <v>429</v>
          </cell>
          <cell r="I33">
            <v>394</v>
          </cell>
          <cell r="J33">
            <v>327</v>
          </cell>
          <cell r="K33">
            <v>382</v>
          </cell>
          <cell r="L33">
            <v>398</v>
          </cell>
          <cell r="M33">
            <v>458</v>
          </cell>
          <cell r="N33">
            <v>266</v>
          </cell>
          <cell r="O33">
            <v>259</v>
          </cell>
          <cell r="P33">
            <v>289</v>
          </cell>
        </row>
        <row r="34">
          <cell r="B34">
            <v>13</v>
          </cell>
          <cell r="C34">
            <v>18</v>
          </cell>
          <cell r="D34">
            <v>193</v>
          </cell>
          <cell r="E34">
            <v>181</v>
          </cell>
          <cell r="F34">
            <v>182</v>
          </cell>
          <cell r="G34">
            <v>187</v>
          </cell>
          <cell r="H34">
            <v>202</v>
          </cell>
          <cell r="I34">
            <v>205</v>
          </cell>
          <cell r="J34">
            <v>216</v>
          </cell>
          <cell r="K34">
            <v>184</v>
          </cell>
          <cell r="L34">
            <v>243</v>
          </cell>
          <cell r="M34">
            <v>180</v>
          </cell>
          <cell r="N34">
            <v>168</v>
          </cell>
          <cell r="O34">
            <v>158</v>
          </cell>
          <cell r="P34">
            <v>176</v>
          </cell>
          <cell r="S34">
            <v>17</v>
          </cell>
        </row>
        <row r="35">
          <cell r="C35">
            <v>149</v>
          </cell>
          <cell r="D35">
            <v>3733</v>
          </cell>
          <cell r="E35">
            <v>4192</v>
          </cell>
          <cell r="F35">
            <v>4163</v>
          </cell>
          <cell r="G35">
            <v>4161</v>
          </cell>
          <cell r="H35">
            <v>4415</v>
          </cell>
          <cell r="I35">
            <v>4074</v>
          </cell>
          <cell r="J35">
            <v>4101</v>
          </cell>
          <cell r="K35">
            <v>4501</v>
          </cell>
          <cell r="L35">
            <v>3906</v>
          </cell>
          <cell r="M35">
            <v>4013</v>
          </cell>
          <cell r="N35">
            <v>3433</v>
          </cell>
          <cell r="O35">
            <v>3003</v>
          </cell>
          <cell r="P35">
            <v>2325</v>
          </cell>
        </row>
        <row r="36">
          <cell r="B36">
            <v>18</v>
          </cell>
          <cell r="C36">
            <v>44</v>
          </cell>
          <cell r="D36">
            <v>478</v>
          </cell>
          <cell r="E36">
            <v>469</v>
          </cell>
          <cell r="F36">
            <v>444</v>
          </cell>
          <cell r="G36">
            <v>427</v>
          </cell>
          <cell r="H36">
            <v>452</v>
          </cell>
          <cell r="I36">
            <v>474</v>
          </cell>
          <cell r="J36">
            <v>430</v>
          </cell>
          <cell r="K36">
            <v>479</v>
          </cell>
          <cell r="L36">
            <v>448</v>
          </cell>
          <cell r="M36">
            <v>434</v>
          </cell>
          <cell r="N36">
            <v>387</v>
          </cell>
          <cell r="O36">
            <v>387</v>
          </cell>
          <cell r="P36">
            <v>351</v>
          </cell>
          <cell r="S36">
            <v>18</v>
          </cell>
        </row>
        <row r="37">
          <cell r="B37">
            <v>81</v>
          </cell>
          <cell r="C37">
            <v>118</v>
          </cell>
          <cell r="D37">
            <v>2198</v>
          </cell>
          <cell r="E37">
            <v>2303</v>
          </cell>
          <cell r="F37">
            <v>2188</v>
          </cell>
          <cell r="G37">
            <v>2186</v>
          </cell>
          <cell r="H37">
            <v>2427</v>
          </cell>
          <cell r="I37">
            <v>2267</v>
          </cell>
          <cell r="J37">
            <v>2549</v>
          </cell>
          <cell r="K37">
            <v>2395</v>
          </cell>
          <cell r="L37">
            <v>2319</v>
          </cell>
          <cell r="M37">
            <v>2468</v>
          </cell>
          <cell r="N37">
            <v>2175</v>
          </cell>
          <cell r="O37">
            <v>1834</v>
          </cell>
          <cell r="P37">
            <v>1602</v>
          </cell>
        </row>
        <row r="38">
          <cell r="B38">
            <v>113</v>
          </cell>
          <cell r="C38">
            <v>110</v>
          </cell>
          <cell r="D38">
            <v>1034</v>
          </cell>
          <cell r="E38">
            <v>1060</v>
          </cell>
          <cell r="F38">
            <v>1100</v>
          </cell>
          <cell r="G38">
            <v>1208</v>
          </cell>
          <cell r="H38">
            <v>1362</v>
          </cell>
          <cell r="I38">
            <v>1181</v>
          </cell>
          <cell r="J38">
            <v>1175</v>
          </cell>
          <cell r="K38">
            <v>1185</v>
          </cell>
          <cell r="L38">
            <v>1277</v>
          </cell>
          <cell r="M38">
            <v>1434</v>
          </cell>
          <cell r="N38">
            <v>953</v>
          </cell>
          <cell r="O38">
            <v>938</v>
          </cell>
          <cell r="P38">
            <v>941</v>
          </cell>
        </row>
        <row r="39">
          <cell r="C39">
            <v>10</v>
          </cell>
          <cell r="D39">
            <v>179</v>
          </cell>
          <cell r="E39">
            <v>166</v>
          </cell>
          <cell r="F39">
            <v>181</v>
          </cell>
          <cell r="G39">
            <v>196</v>
          </cell>
          <cell r="H39">
            <v>211</v>
          </cell>
          <cell r="I39">
            <v>200</v>
          </cell>
          <cell r="J39">
            <v>190</v>
          </cell>
          <cell r="K39">
            <v>203</v>
          </cell>
          <cell r="L39">
            <v>211</v>
          </cell>
          <cell r="M39">
            <v>215</v>
          </cell>
          <cell r="N39">
            <v>209</v>
          </cell>
          <cell r="O39">
            <v>178</v>
          </cell>
          <cell r="P39">
            <v>160</v>
          </cell>
          <cell r="S39">
            <v>28</v>
          </cell>
        </row>
        <row r="40">
          <cell r="C40">
            <v>34</v>
          </cell>
          <cell r="D40">
            <v>533</v>
          </cell>
          <cell r="E40">
            <v>520</v>
          </cell>
          <cell r="F40">
            <v>516</v>
          </cell>
          <cell r="G40">
            <v>500</v>
          </cell>
          <cell r="H40">
            <v>529</v>
          </cell>
          <cell r="I40">
            <v>490</v>
          </cell>
          <cell r="J40">
            <v>471</v>
          </cell>
          <cell r="K40">
            <v>522</v>
          </cell>
          <cell r="L40">
            <v>565</v>
          </cell>
          <cell r="M40">
            <v>582</v>
          </cell>
          <cell r="N40">
            <v>410</v>
          </cell>
          <cell r="O40">
            <v>483</v>
          </cell>
          <cell r="P40">
            <v>396</v>
          </cell>
          <cell r="S40">
            <v>51</v>
          </cell>
        </row>
        <row r="41">
          <cell r="C41">
            <v>134</v>
          </cell>
          <cell r="D41">
            <v>1490</v>
          </cell>
          <cell r="E41">
            <v>1627</v>
          </cell>
          <cell r="F41">
            <v>1650</v>
          </cell>
          <cell r="G41">
            <v>1624</v>
          </cell>
          <cell r="H41">
            <v>1722</v>
          </cell>
          <cell r="I41">
            <v>1578</v>
          </cell>
          <cell r="J41">
            <v>1615</v>
          </cell>
          <cell r="K41">
            <v>1601</v>
          </cell>
          <cell r="L41">
            <v>1547</v>
          </cell>
          <cell r="M41">
            <v>1589</v>
          </cell>
          <cell r="N41">
            <v>1382</v>
          </cell>
          <cell r="O41">
            <v>1274</v>
          </cell>
          <cell r="P41">
            <v>1095</v>
          </cell>
        </row>
        <row r="42">
          <cell r="B42">
            <v>11</v>
          </cell>
          <cell r="C42">
            <v>6</v>
          </cell>
          <cell r="D42">
            <v>202</v>
          </cell>
          <cell r="E42">
            <v>225</v>
          </cell>
          <cell r="F42">
            <v>223</v>
          </cell>
          <cell r="G42">
            <v>184</v>
          </cell>
          <cell r="H42">
            <v>174</v>
          </cell>
          <cell r="I42">
            <v>165</v>
          </cell>
          <cell r="J42">
            <v>203</v>
          </cell>
          <cell r="K42">
            <v>219</v>
          </cell>
          <cell r="L42">
            <v>246</v>
          </cell>
          <cell r="M42">
            <v>123</v>
          </cell>
          <cell r="N42">
            <v>123</v>
          </cell>
          <cell r="O42">
            <v>113</v>
          </cell>
          <cell r="P42">
            <v>134</v>
          </cell>
          <cell r="S42">
            <v>14</v>
          </cell>
        </row>
        <row r="43">
          <cell r="B43">
            <v>32</v>
          </cell>
          <cell r="C43">
            <v>70</v>
          </cell>
          <cell r="D43">
            <v>418</v>
          </cell>
          <cell r="E43">
            <v>465</v>
          </cell>
          <cell r="F43">
            <v>500</v>
          </cell>
          <cell r="G43">
            <v>445</v>
          </cell>
          <cell r="H43">
            <v>406</v>
          </cell>
          <cell r="I43">
            <v>426</v>
          </cell>
          <cell r="J43">
            <v>369</v>
          </cell>
          <cell r="K43">
            <v>469</v>
          </cell>
          <cell r="L43">
            <v>366</v>
          </cell>
          <cell r="M43">
            <v>404</v>
          </cell>
          <cell r="N43">
            <v>256</v>
          </cell>
          <cell r="O43">
            <v>249</v>
          </cell>
          <cell r="P43">
            <v>242</v>
          </cell>
          <cell r="S43">
            <v>54</v>
          </cell>
        </row>
        <row r="44">
          <cell r="B44">
            <v>27</v>
          </cell>
          <cell r="C44">
            <v>54</v>
          </cell>
          <cell r="D44">
            <v>552</v>
          </cell>
          <cell r="E44">
            <v>530</v>
          </cell>
          <cell r="F44">
            <v>542</v>
          </cell>
          <cell r="G44">
            <v>528</v>
          </cell>
          <cell r="H44">
            <v>730</v>
          </cell>
          <cell r="I44">
            <v>437</v>
          </cell>
          <cell r="J44">
            <v>408</v>
          </cell>
          <cell r="K44">
            <v>570</v>
          </cell>
          <cell r="L44">
            <v>672</v>
          </cell>
          <cell r="M44">
            <v>576</v>
          </cell>
          <cell r="N44">
            <v>251</v>
          </cell>
          <cell r="O44">
            <v>416</v>
          </cell>
          <cell r="P44">
            <v>330</v>
          </cell>
          <cell r="S44">
            <v>48</v>
          </cell>
        </row>
        <row r="45">
          <cell r="C45">
            <v>314</v>
          </cell>
          <cell r="D45">
            <v>4137</v>
          </cell>
          <cell r="E45">
            <v>5674</v>
          </cell>
          <cell r="F45">
            <v>6089</v>
          </cell>
          <cell r="G45">
            <v>6247</v>
          </cell>
          <cell r="H45">
            <v>7591</v>
          </cell>
          <cell r="I45">
            <v>4715</v>
          </cell>
          <cell r="J45">
            <v>5011</v>
          </cell>
          <cell r="K45">
            <v>5517</v>
          </cell>
          <cell r="L45">
            <v>7555</v>
          </cell>
          <cell r="M45">
            <v>4755</v>
          </cell>
          <cell r="N45">
            <v>4594</v>
          </cell>
          <cell r="O45">
            <v>4670</v>
          </cell>
          <cell r="P45">
            <v>4393</v>
          </cell>
        </row>
        <row r="46">
          <cell r="B46">
            <v>69</v>
          </cell>
          <cell r="C46">
            <v>114</v>
          </cell>
          <cell r="D46">
            <v>1349</v>
          </cell>
          <cell r="E46">
            <v>1421</v>
          </cell>
          <cell r="F46">
            <v>1306</v>
          </cell>
          <cell r="G46">
            <v>1366</v>
          </cell>
          <cell r="H46">
            <v>1438</v>
          </cell>
          <cell r="I46">
            <v>1368</v>
          </cell>
          <cell r="J46">
            <v>1373</v>
          </cell>
          <cell r="K46">
            <v>1541</v>
          </cell>
          <cell r="L46">
            <v>1510</v>
          </cell>
          <cell r="M46">
            <v>1433</v>
          </cell>
          <cell r="N46">
            <v>1262</v>
          </cell>
          <cell r="O46">
            <v>1099</v>
          </cell>
          <cell r="P46">
            <v>996</v>
          </cell>
        </row>
        <row r="47">
          <cell r="C47">
            <v>10</v>
          </cell>
          <cell r="D47">
            <v>354</v>
          </cell>
          <cell r="E47">
            <v>381</v>
          </cell>
          <cell r="F47">
            <v>354</v>
          </cell>
          <cell r="G47">
            <v>378</v>
          </cell>
          <cell r="H47">
            <v>378</v>
          </cell>
          <cell r="I47">
            <v>378</v>
          </cell>
          <cell r="J47">
            <v>362</v>
          </cell>
          <cell r="K47">
            <v>360</v>
          </cell>
          <cell r="L47">
            <v>339</v>
          </cell>
          <cell r="M47">
            <v>396</v>
          </cell>
          <cell r="N47">
            <v>330</v>
          </cell>
          <cell r="O47">
            <v>347</v>
          </cell>
          <cell r="P47">
            <v>302</v>
          </cell>
          <cell r="S47">
            <v>51</v>
          </cell>
        </row>
        <row r="48">
          <cell r="C48">
            <v>27</v>
          </cell>
          <cell r="D48">
            <v>241</v>
          </cell>
          <cell r="E48">
            <v>285</v>
          </cell>
          <cell r="F48">
            <v>258</v>
          </cell>
          <cell r="G48">
            <v>283</v>
          </cell>
          <cell r="H48">
            <v>243</v>
          </cell>
          <cell r="I48">
            <v>240</v>
          </cell>
          <cell r="J48">
            <v>195</v>
          </cell>
          <cell r="K48">
            <v>281</v>
          </cell>
          <cell r="L48">
            <v>292</v>
          </cell>
          <cell r="M48">
            <v>210</v>
          </cell>
          <cell r="N48">
            <v>216</v>
          </cell>
          <cell r="O48">
            <v>181</v>
          </cell>
          <cell r="P48">
            <v>194</v>
          </cell>
          <cell r="S48">
            <v>27</v>
          </cell>
        </row>
        <row r="49">
          <cell r="B49">
            <v>81</v>
          </cell>
          <cell r="C49">
            <v>141</v>
          </cell>
          <cell r="D49">
            <v>1786</v>
          </cell>
          <cell r="E49">
            <v>1914</v>
          </cell>
          <cell r="F49">
            <v>1809</v>
          </cell>
          <cell r="G49">
            <v>1765</v>
          </cell>
          <cell r="H49">
            <v>1782</v>
          </cell>
          <cell r="I49">
            <v>1581</v>
          </cell>
          <cell r="J49">
            <v>1670</v>
          </cell>
          <cell r="K49">
            <v>1727</v>
          </cell>
          <cell r="L49">
            <v>1808</v>
          </cell>
          <cell r="M49">
            <v>1847</v>
          </cell>
          <cell r="N49">
            <v>1656</v>
          </cell>
          <cell r="O49">
            <v>1574</v>
          </cell>
          <cell r="P49">
            <v>1451</v>
          </cell>
        </row>
        <row r="50">
          <cell r="C50">
            <v>9</v>
          </cell>
          <cell r="D50">
            <v>131</v>
          </cell>
          <cell r="E50">
            <v>118</v>
          </cell>
          <cell r="F50">
            <v>148</v>
          </cell>
          <cell r="G50">
            <v>148</v>
          </cell>
          <cell r="H50">
            <v>148</v>
          </cell>
          <cell r="I50">
            <v>97</v>
          </cell>
          <cell r="J50">
            <v>124</v>
          </cell>
          <cell r="K50">
            <v>136</v>
          </cell>
          <cell r="L50">
            <v>137</v>
          </cell>
          <cell r="M50">
            <v>140</v>
          </cell>
          <cell r="N50">
            <v>124</v>
          </cell>
          <cell r="O50">
            <v>87</v>
          </cell>
          <cell r="P50">
            <v>91</v>
          </cell>
          <cell r="S50">
            <v>11</v>
          </cell>
        </row>
        <row r="51">
          <cell r="B51">
            <v>12</v>
          </cell>
          <cell r="C51">
            <v>46</v>
          </cell>
          <cell r="D51">
            <v>259</v>
          </cell>
          <cell r="E51">
            <v>300</v>
          </cell>
          <cell r="F51">
            <v>271</v>
          </cell>
          <cell r="G51">
            <v>295</v>
          </cell>
          <cell r="H51">
            <v>299</v>
          </cell>
          <cell r="I51">
            <v>295</v>
          </cell>
          <cell r="J51">
            <v>300</v>
          </cell>
          <cell r="K51">
            <v>284</v>
          </cell>
          <cell r="L51">
            <v>272</v>
          </cell>
          <cell r="M51">
            <v>339</v>
          </cell>
          <cell r="N51">
            <v>198</v>
          </cell>
          <cell r="O51">
            <v>187</v>
          </cell>
          <cell r="P51">
            <v>181</v>
          </cell>
          <cell r="S51">
            <v>32</v>
          </cell>
        </row>
        <row r="52">
          <cell r="B52">
            <v>26</v>
          </cell>
          <cell r="C52">
            <v>20</v>
          </cell>
          <cell r="D52">
            <v>275</v>
          </cell>
          <cell r="E52">
            <v>295</v>
          </cell>
          <cell r="F52">
            <v>282</v>
          </cell>
          <cell r="G52">
            <v>270</v>
          </cell>
          <cell r="H52">
            <v>361</v>
          </cell>
          <cell r="I52">
            <v>355</v>
          </cell>
          <cell r="J52">
            <v>309</v>
          </cell>
          <cell r="K52">
            <v>344</v>
          </cell>
          <cell r="L52">
            <v>346</v>
          </cell>
          <cell r="M52">
            <v>342</v>
          </cell>
          <cell r="N52">
            <v>333</v>
          </cell>
          <cell r="O52">
            <v>280</v>
          </cell>
          <cell r="P52">
            <v>269</v>
          </cell>
          <cell r="S52">
            <v>55</v>
          </cell>
        </row>
        <row r="53">
          <cell r="B53">
            <v>8</v>
          </cell>
          <cell r="C53">
            <v>52</v>
          </cell>
          <cell r="D53">
            <v>593</v>
          </cell>
          <cell r="E53">
            <v>667</v>
          </cell>
          <cell r="F53">
            <v>659</v>
          </cell>
          <cell r="G53">
            <v>708</v>
          </cell>
          <cell r="H53">
            <v>666</v>
          </cell>
          <cell r="I53">
            <v>661</v>
          </cell>
          <cell r="J53">
            <v>754</v>
          </cell>
          <cell r="K53">
            <v>702</v>
          </cell>
          <cell r="L53">
            <v>696</v>
          </cell>
          <cell r="M53">
            <v>735</v>
          </cell>
          <cell r="N53">
            <v>595</v>
          </cell>
          <cell r="O53">
            <v>494</v>
          </cell>
          <cell r="P53">
            <v>422</v>
          </cell>
        </row>
        <row r="54">
          <cell r="B54">
            <v>67</v>
          </cell>
          <cell r="C54">
            <v>61</v>
          </cell>
          <cell r="D54">
            <v>805</v>
          </cell>
          <cell r="E54">
            <v>702</v>
          </cell>
          <cell r="F54">
            <v>717</v>
          </cell>
          <cell r="G54">
            <v>720</v>
          </cell>
          <cell r="H54">
            <v>736</v>
          </cell>
          <cell r="I54">
            <v>766</v>
          </cell>
          <cell r="J54">
            <v>747</v>
          </cell>
          <cell r="K54">
            <v>725</v>
          </cell>
          <cell r="L54">
            <v>729</v>
          </cell>
          <cell r="M54">
            <v>894</v>
          </cell>
          <cell r="N54">
            <v>697</v>
          </cell>
          <cell r="O54">
            <v>624</v>
          </cell>
          <cell r="P54">
            <v>656</v>
          </cell>
        </row>
        <row r="55">
          <cell r="C55">
            <v>8</v>
          </cell>
          <cell r="D55">
            <v>101</v>
          </cell>
          <cell r="E55">
            <v>130</v>
          </cell>
          <cell r="F55">
            <v>114</v>
          </cell>
          <cell r="G55">
            <v>124</v>
          </cell>
          <cell r="H55">
            <v>117</v>
          </cell>
          <cell r="I55">
            <v>82</v>
          </cell>
          <cell r="J55">
            <v>107</v>
          </cell>
          <cell r="K55">
            <v>93</v>
          </cell>
          <cell r="L55">
            <v>112</v>
          </cell>
          <cell r="M55">
            <v>140</v>
          </cell>
          <cell r="N55">
            <v>99</v>
          </cell>
          <cell r="O55">
            <v>67</v>
          </cell>
          <cell r="P55">
            <v>53</v>
          </cell>
        </row>
        <row r="56">
          <cell r="B56">
            <v>21</v>
          </cell>
          <cell r="C56">
            <v>55</v>
          </cell>
          <cell r="D56">
            <v>277</v>
          </cell>
          <cell r="E56">
            <v>307</v>
          </cell>
          <cell r="F56">
            <v>300</v>
          </cell>
          <cell r="G56">
            <v>292</v>
          </cell>
          <cell r="H56">
            <v>336</v>
          </cell>
          <cell r="I56">
            <v>284</v>
          </cell>
          <cell r="J56">
            <v>248</v>
          </cell>
          <cell r="K56">
            <v>304</v>
          </cell>
          <cell r="L56">
            <v>325</v>
          </cell>
          <cell r="M56">
            <v>220</v>
          </cell>
          <cell r="N56">
            <v>264</v>
          </cell>
          <cell r="O56">
            <v>295</v>
          </cell>
          <cell r="P56">
            <v>237</v>
          </cell>
          <cell r="S56">
            <v>17</v>
          </cell>
        </row>
        <row r="57">
          <cell r="B57">
            <v>48</v>
          </cell>
          <cell r="C57">
            <v>36</v>
          </cell>
          <cell r="D57">
            <v>454</v>
          </cell>
          <cell r="E57">
            <v>490</v>
          </cell>
          <cell r="F57">
            <v>523</v>
          </cell>
          <cell r="G57">
            <v>515</v>
          </cell>
          <cell r="H57">
            <v>495</v>
          </cell>
          <cell r="I57">
            <v>500</v>
          </cell>
          <cell r="J57">
            <v>507</v>
          </cell>
          <cell r="K57">
            <v>517</v>
          </cell>
          <cell r="L57">
            <v>479</v>
          </cell>
          <cell r="M57">
            <v>508</v>
          </cell>
          <cell r="N57">
            <v>398</v>
          </cell>
          <cell r="O57">
            <v>292</v>
          </cell>
          <cell r="P57">
            <v>348</v>
          </cell>
        </row>
        <row r="58">
          <cell r="B58">
            <v>97</v>
          </cell>
          <cell r="C58">
            <v>169</v>
          </cell>
          <cell r="D58">
            <v>1219</v>
          </cell>
          <cell r="E58">
            <v>1251</v>
          </cell>
          <cell r="F58">
            <v>1190</v>
          </cell>
          <cell r="G58">
            <v>1257</v>
          </cell>
          <cell r="H58">
            <v>1313</v>
          </cell>
          <cell r="I58">
            <v>1243</v>
          </cell>
          <cell r="J58">
            <v>1137</v>
          </cell>
          <cell r="K58">
            <v>1279</v>
          </cell>
          <cell r="L58">
            <v>1213</v>
          </cell>
          <cell r="M58">
            <v>1184</v>
          </cell>
          <cell r="N58">
            <v>972</v>
          </cell>
          <cell r="O58">
            <v>923</v>
          </cell>
          <cell r="P58">
            <v>805</v>
          </cell>
          <cell r="S58">
            <v>103</v>
          </cell>
        </row>
        <row r="59">
          <cell r="B59">
            <v>51</v>
          </cell>
          <cell r="C59">
            <v>60</v>
          </cell>
          <cell r="D59">
            <v>588</v>
          </cell>
          <cell r="E59">
            <v>650</v>
          </cell>
          <cell r="F59">
            <v>648</v>
          </cell>
          <cell r="G59">
            <v>623</v>
          </cell>
          <cell r="H59">
            <v>715</v>
          </cell>
          <cell r="I59">
            <v>633</v>
          </cell>
          <cell r="J59">
            <v>573</v>
          </cell>
          <cell r="K59">
            <v>722</v>
          </cell>
          <cell r="L59">
            <v>745</v>
          </cell>
          <cell r="M59">
            <v>702</v>
          </cell>
          <cell r="N59">
            <v>571</v>
          </cell>
          <cell r="O59">
            <v>629</v>
          </cell>
          <cell r="P59">
            <v>466</v>
          </cell>
          <cell r="S59">
            <v>44</v>
          </cell>
        </row>
        <row r="60">
          <cell r="B60">
            <v>39</v>
          </cell>
          <cell r="C60">
            <v>68</v>
          </cell>
          <cell r="D60">
            <v>681</v>
          </cell>
          <cell r="E60">
            <v>775</v>
          </cell>
          <cell r="F60">
            <v>786</v>
          </cell>
          <cell r="G60">
            <v>863</v>
          </cell>
          <cell r="H60">
            <v>925</v>
          </cell>
          <cell r="I60">
            <v>768</v>
          </cell>
          <cell r="J60">
            <v>796</v>
          </cell>
          <cell r="K60">
            <v>940</v>
          </cell>
          <cell r="L60">
            <v>802</v>
          </cell>
          <cell r="M60">
            <v>921</v>
          </cell>
          <cell r="N60">
            <v>663</v>
          </cell>
          <cell r="O60">
            <v>637</v>
          </cell>
          <cell r="P60">
            <v>669</v>
          </cell>
        </row>
        <row r="61">
          <cell r="C61">
            <v>304</v>
          </cell>
          <cell r="D61">
            <v>2205</v>
          </cell>
          <cell r="E61">
            <v>2898</v>
          </cell>
          <cell r="F61">
            <v>2302</v>
          </cell>
          <cell r="G61">
            <v>2443</v>
          </cell>
          <cell r="H61">
            <v>2535</v>
          </cell>
          <cell r="I61">
            <v>2559</v>
          </cell>
          <cell r="J61">
            <v>2644</v>
          </cell>
          <cell r="K61">
            <v>2671</v>
          </cell>
          <cell r="L61">
            <v>2657</v>
          </cell>
          <cell r="M61">
            <v>2938</v>
          </cell>
          <cell r="N61">
            <v>2437</v>
          </cell>
          <cell r="O61">
            <v>2294</v>
          </cell>
          <cell r="P61">
            <v>1983</v>
          </cell>
        </row>
        <row r="62">
          <cell r="C62">
            <v>89</v>
          </cell>
          <cell r="D62">
            <v>1297</v>
          </cell>
          <cell r="E62">
            <v>1502</v>
          </cell>
          <cell r="F62">
            <v>1395</v>
          </cell>
          <cell r="G62">
            <v>1443</v>
          </cell>
          <cell r="H62">
            <v>1678</v>
          </cell>
          <cell r="I62">
            <v>1269</v>
          </cell>
          <cell r="J62">
            <v>1358</v>
          </cell>
          <cell r="K62">
            <v>1370</v>
          </cell>
          <cell r="L62">
            <v>1397</v>
          </cell>
          <cell r="M62">
            <v>1623</v>
          </cell>
          <cell r="N62">
            <v>1266</v>
          </cell>
          <cell r="O62">
            <v>1167</v>
          </cell>
          <cell r="P62">
            <v>1057</v>
          </cell>
        </row>
        <row r="63">
          <cell r="C63">
            <v>12</v>
          </cell>
          <cell r="D63">
            <v>72</v>
          </cell>
          <cell r="E63">
            <v>57</v>
          </cell>
          <cell r="F63">
            <v>63</v>
          </cell>
          <cell r="G63">
            <v>58</v>
          </cell>
          <cell r="H63">
            <v>80</v>
          </cell>
          <cell r="I63">
            <v>64</v>
          </cell>
          <cell r="J63">
            <v>98</v>
          </cell>
          <cell r="K63">
            <v>86</v>
          </cell>
          <cell r="L63">
            <v>95</v>
          </cell>
          <cell r="M63">
            <v>56</v>
          </cell>
          <cell r="N63">
            <v>75</v>
          </cell>
          <cell r="O63">
            <v>65</v>
          </cell>
          <cell r="P63">
            <v>66</v>
          </cell>
          <cell r="S63">
            <v>7</v>
          </cell>
        </row>
        <row r="64">
          <cell r="B64">
            <v>77</v>
          </cell>
          <cell r="C64">
            <v>169</v>
          </cell>
          <cell r="D64">
            <v>1406</v>
          </cell>
          <cell r="E64">
            <v>1660</v>
          </cell>
          <cell r="F64">
            <v>1491</v>
          </cell>
          <cell r="G64">
            <v>1464</v>
          </cell>
          <cell r="H64">
            <v>1502</v>
          </cell>
          <cell r="I64">
            <v>1554</v>
          </cell>
          <cell r="J64">
            <v>1476</v>
          </cell>
          <cell r="K64">
            <v>1574</v>
          </cell>
          <cell r="L64">
            <v>1641</v>
          </cell>
          <cell r="M64">
            <v>1643</v>
          </cell>
          <cell r="N64">
            <v>1278</v>
          </cell>
          <cell r="O64">
            <v>1219</v>
          </cell>
          <cell r="P64">
            <v>1050</v>
          </cell>
          <cell r="S64">
            <v>81</v>
          </cell>
        </row>
        <row r="65">
          <cell r="C65">
            <v>28</v>
          </cell>
          <cell r="D65">
            <v>278</v>
          </cell>
          <cell r="E65">
            <v>290</v>
          </cell>
          <cell r="F65">
            <v>250</v>
          </cell>
          <cell r="G65">
            <v>293</v>
          </cell>
          <cell r="H65">
            <v>307</v>
          </cell>
          <cell r="I65">
            <v>289</v>
          </cell>
          <cell r="J65">
            <v>265</v>
          </cell>
          <cell r="K65">
            <v>282</v>
          </cell>
          <cell r="L65">
            <v>280</v>
          </cell>
          <cell r="M65">
            <v>289</v>
          </cell>
          <cell r="N65">
            <v>199</v>
          </cell>
          <cell r="O65">
            <v>209</v>
          </cell>
          <cell r="P65">
            <v>229</v>
          </cell>
          <cell r="S65">
            <v>7</v>
          </cell>
        </row>
        <row r="66">
          <cell r="B66">
            <v>47</v>
          </cell>
          <cell r="C66">
            <v>98</v>
          </cell>
          <cell r="D66">
            <v>585</v>
          </cell>
          <cell r="E66">
            <v>632</v>
          </cell>
          <cell r="F66">
            <v>616</v>
          </cell>
          <cell r="G66">
            <v>665</v>
          </cell>
          <cell r="H66">
            <v>691</v>
          </cell>
          <cell r="I66">
            <v>732</v>
          </cell>
          <cell r="J66">
            <v>736</v>
          </cell>
          <cell r="K66">
            <v>683</v>
          </cell>
          <cell r="L66">
            <v>714</v>
          </cell>
          <cell r="M66">
            <v>779</v>
          </cell>
          <cell r="N66">
            <v>597</v>
          </cell>
          <cell r="O66">
            <v>542</v>
          </cell>
          <cell r="P66">
            <v>510</v>
          </cell>
          <cell r="S66">
            <v>60</v>
          </cell>
        </row>
        <row r="67">
          <cell r="B67">
            <v>45</v>
          </cell>
          <cell r="C67">
            <v>136</v>
          </cell>
          <cell r="D67">
            <v>915</v>
          </cell>
          <cell r="E67">
            <v>874</v>
          </cell>
          <cell r="F67">
            <v>873</v>
          </cell>
          <cell r="G67">
            <v>797</v>
          </cell>
          <cell r="H67">
            <v>800</v>
          </cell>
          <cell r="I67">
            <v>795</v>
          </cell>
          <cell r="J67">
            <v>772</v>
          </cell>
          <cell r="K67">
            <v>798</v>
          </cell>
          <cell r="L67">
            <v>742</v>
          </cell>
          <cell r="M67">
            <v>636</v>
          </cell>
          <cell r="N67">
            <v>573</v>
          </cell>
          <cell r="O67">
            <v>511</v>
          </cell>
          <cell r="P67">
            <v>461</v>
          </cell>
          <cell r="S67">
            <v>64</v>
          </cell>
        </row>
        <row r="68">
          <cell r="C68">
            <v>60</v>
          </cell>
          <cell r="D68">
            <v>342</v>
          </cell>
          <cell r="E68">
            <v>375</v>
          </cell>
          <cell r="F68">
            <v>347</v>
          </cell>
          <cell r="G68">
            <v>364</v>
          </cell>
          <cell r="H68">
            <v>377</v>
          </cell>
          <cell r="I68">
            <v>332</v>
          </cell>
          <cell r="J68">
            <v>343</v>
          </cell>
          <cell r="K68">
            <v>355</v>
          </cell>
          <cell r="L68">
            <v>363</v>
          </cell>
          <cell r="M68">
            <v>279</v>
          </cell>
          <cell r="N68">
            <v>336</v>
          </cell>
          <cell r="O68">
            <v>315</v>
          </cell>
          <cell r="P68">
            <v>286</v>
          </cell>
          <cell r="S68">
            <v>21</v>
          </cell>
        </row>
        <row r="69">
          <cell r="C69">
            <v>50</v>
          </cell>
          <cell r="D69">
            <v>631</v>
          </cell>
          <cell r="E69">
            <v>576</v>
          </cell>
          <cell r="F69">
            <v>571</v>
          </cell>
          <cell r="G69">
            <v>549</v>
          </cell>
          <cell r="H69">
            <v>601</v>
          </cell>
          <cell r="I69">
            <v>566</v>
          </cell>
          <cell r="J69">
            <v>527</v>
          </cell>
          <cell r="K69">
            <v>693</v>
          </cell>
          <cell r="L69">
            <v>625</v>
          </cell>
          <cell r="M69">
            <v>620</v>
          </cell>
          <cell r="N69">
            <v>577</v>
          </cell>
          <cell r="O69">
            <v>504</v>
          </cell>
          <cell r="P69">
            <v>440</v>
          </cell>
          <cell r="S69">
            <v>33</v>
          </cell>
        </row>
        <row r="70">
          <cell r="D70">
            <v>256</v>
          </cell>
          <cell r="E70">
            <v>278</v>
          </cell>
          <cell r="F70">
            <v>306</v>
          </cell>
          <cell r="G70">
            <v>247</v>
          </cell>
          <cell r="H70">
            <v>296</v>
          </cell>
          <cell r="I70">
            <v>256</v>
          </cell>
          <cell r="J70">
            <v>324</v>
          </cell>
          <cell r="K70">
            <v>297</v>
          </cell>
          <cell r="L70">
            <v>312</v>
          </cell>
          <cell r="M70">
            <v>275</v>
          </cell>
          <cell r="N70">
            <v>276</v>
          </cell>
          <cell r="O70">
            <v>245</v>
          </cell>
          <cell r="P70">
            <v>260</v>
          </cell>
          <cell r="S70">
            <v>21</v>
          </cell>
        </row>
        <row r="71">
          <cell r="B71">
            <v>18</v>
          </cell>
          <cell r="C71">
            <v>38</v>
          </cell>
          <cell r="D71">
            <v>184</v>
          </cell>
          <cell r="E71">
            <v>160</v>
          </cell>
          <cell r="F71">
            <v>186</v>
          </cell>
          <cell r="G71">
            <v>219</v>
          </cell>
          <cell r="H71">
            <v>194</v>
          </cell>
          <cell r="I71">
            <v>212</v>
          </cell>
          <cell r="J71">
            <v>196</v>
          </cell>
          <cell r="K71">
            <v>212</v>
          </cell>
          <cell r="L71">
            <v>184</v>
          </cell>
          <cell r="M71">
            <v>164</v>
          </cell>
          <cell r="N71">
            <v>156</v>
          </cell>
          <cell r="O71">
            <v>195</v>
          </cell>
          <cell r="P71">
            <v>141</v>
          </cell>
          <cell r="S71">
            <v>23</v>
          </cell>
        </row>
        <row r="72">
          <cell r="C72">
            <v>14</v>
          </cell>
          <cell r="D72">
            <v>159</v>
          </cell>
          <cell r="E72">
            <v>166</v>
          </cell>
          <cell r="F72">
            <v>176</v>
          </cell>
          <cell r="G72">
            <v>195</v>
          </cell>
          <cell r="H72">
            <v>169</v>
          </cell>
          <cell r="I72">
            <v>177</v>
          </cell>
          <cell r="J72">
            <v>172</v>
          </cell>
          <cell r="K72">
            <v>186</v>
          </cell>
          <cell r="L72">
            <v>173</v>
          </cell>
          <cell r="M72">
            <v>174</v>
          </cell>
          <cell r="N72">
            <v>175</v>
          </cell>
          <cell r="O72">
            <v>143</v>
          </cell>
          <cell r="P72">
            <v>130</v>
          </cell>
        </row>
        <row r="73">
          <cell r="B73">
            <v>9</v>
          </cell>
          <cell r="C73">
            <v>35</v>
          </cell>
          <cell r="D73">
            <v>233</v>
          </cell>
          <cell r="E73">
            <v>237</v>
          </cell>
          <cell r="F73">
            <v>220</v>
          </cell>
          <cell r="G73">
            <v>190</v>
          </cell>
          <cell r="H73">
            <v>229</v>
          </cell>
          <cell r="I73">
            <v>214</v>
          </cell>
          <cell r="J73">
            <v>209</v>
          </cell>
          <cell r="K73">
            <v>225</v>
          </cell>
          <cell r="L73">
            <v>201</v>
          </cell>
          <cell r="M73">
            <v>284</v>
          </cell>
          <cell r="N73">
            <v>183</v>
          </cell>
          <cell r="O73">
            <v>177</v>
          </cell>
          <cell r="P73">
            <v>163</v>
          </cell>
          <cell r="S73">
            <v>4</v>
          </cell>
        </row>
        <row r="74">
          <cell r="B74">
            <v>38</v>
          </cell>
          <cell r="C74">
            <v>75</v>
          </cell>
          <cell r="D74">
            <v>753</v>
          </cell>
          <cell r="E74">
            <v>821</v>
          </cell>
          <cell r="F74">
            <v>760</v>
          </cell>
          <cell r="G74">
            <v>792</v>
          </cell>
          <cell r="H74">
            <v>832</v>
          </cell>
          <cell r="I74">
            <v>719</v>
          </cell>
          <cell r="J74">
            <v>725</v>
          </cell>
          <cell r="K74">
            <v>850</v>
          </cell>
          <cell r="L74">
            <v>708</v>
          </cell>
          <cell r="M74">
            <v>839</v>
          </cell>
          <cell r="N74">
            <v>585</v>
          </cell>
          <cell r="O74">
            <v>596</v>
          </cell>
          <cell r="P74">
            <v>510</v>
          </cell>
        </row>
        <row r="75">
          <cell r="C75">
            <v>50</v>
          </cell>
          <cell r="D75">
            <v>235</v>
          </cell>
          <cell r="E75">
            <v>259</v>
          </cell>
          <cell r="F75">
            <v>242</v>
          </cell>
          <cell r="G75">
            <v>239</v>
          </cell>
          <cell r="H75">
            <v>243</v>
          </cell>
          <cell r="I75">
            <v>212</v>
          </cell>
          <cell r="J75">
            <v>201</v>
          </cell>
          <cell r="K75">
            <v>236</v>
          </cell>
          <cell r="L75">
            <v>246</v>
          </cell>
          <cell r="M75">
            <v>238</v>
          </cell>
          <cell r="N75">
            <v>221</v>
          </cell>
          <cell r="O75">
            <v>195</v>
          </cell>
          <cell r="P75">
            <v>183</v>
          </cell>
          <cell r="S75">
            <v>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3163</v>
          </cell>
        </row>
        <row r="4">
          <cell r="C4">
            <v>1560</v>
          </cell>
        </row>
        <row r="5">
          <cell r="C5">
            <v>2423</v>
          </cell>
        </row>
        <row r="6">
          <cell r="C6">
            <v>1119</v>
          </cell>
        </row>
        <row r="7">
          <cell r="C7">
            <v>2194</v>
          </cell>
        </row>
        <row r="8">
          <cell r="C8">
            <v>1886</v>
          </cell>
        </row>
        <row r="9">
          <cell r="C9">
            <v>1077</v>
          </cell>
        </row>
        <row r="10">
          <cell r="C10">
            <v>5156</v>
          </cell>
        </row>
        <row r="11">
          <cell r="C11">
            <v>9778</v>
          </cell>
        </row>
        <row r="12">
          <cell r="C12">
            <v>6459</v>
          </cell>
        </row>
        <row r="13">
          <cell r="C13">
            <v>594</v>
          </cell>
        </row>
        <row r="14">
          <cell r="C14">
            <v>609</v>
          </cell>
        </row>
        <row r="15">
          <cell r="C15">
            <v>684</v>
          </cell>
        </row>
        <row r="16">
          <cell r="C16">
            <v>655</v>
          </cell>
        </row>
        <row r="17">
          <cell r="C17">
            <v>1031</v>
          </cell>
        </row>
        <row r="18">
          <cell r="C18">
            <v>2181</v>
          </cell>
        </row>
        <row r="19">
          <cell r="C19">
            <v>11854</v>
          </cell>
        </row>
        <row r="20">
          <cell r="C20">
            <v>385</v>
          </cell>
        </row>
        <row r="21">
          <cell r="C21">
            <v>580</v>
          </cell>
        </row>
        <row r="22">
          <cell r="C22">
            <v>1880</v>
          </cell>
        </row>
        <row r="23">
          <cell r="C23">
            <v>1049</v>
          </cell>
        </row>
        <row r="24">
          <cell r="C24">
            <v>1270</v>
          </cell>
        </row>
        <row r="25">
          <cell r="C25">
            <v>4513</v>
          </cell>
        </row>
        <row r="26">
          <cell r="C26">
            <v>1705</v>
          </cell>
        </row>
        <row r="27">
          <cell r="C27">
            <v>999</v>
          </cell>
        </row>
        <row r="28">
          <cell r="C28">
            <v>9749</v>
          </cell>
        </row>
        <row r="29">
          <cell r="C29">
            <v>2109</v>
          </cell>
        </row>
        <row r="30">
          <cell r="C30">
            <v>5774</v>
          </cell>
        </row>
        <row r="31">
          <cell r="C31">
            <v>4323</v>
          </cell>
        </row>
        <row r="32">
          <cell r="C32">
            <v>1005</v>
          </cell>
        </row>
        <row r="33">
          <cell r="C33">
            <v>2118</v>
          </cell>
        </row>
        <row r="34">
          <cell r="C34">
            <v>4285</v>
          </cell>
        </row>
        <row r="35">
          <cell r="C35">
            <v>495</v>
          </cell>
        </row>
        <row r="36">
          <cell r="C36">
            <v>1168</v>
          </cell>
        </row>
        <row r="37">
          <cell r="C37">
            <v>2018</v>
          </cell>
        </row>
        <row r="38">
          <cell r="C38">
            <v>12413</v>
          </cell>
        </row>
        <row r="39">
          <cell r="C39">
            <v>3482</v>
          </cell>
        </row>
        <row r="40">
          <cell r="C40">
            <v>1085</v>
          </cell>
        </row>
        <row r="41">
          <cell r="C41">
            <v>986</v>
          </cell>
        </row>
        <row r="42">
          <cell r="C42">
            <v>6282</v>
          </cell>
        </row>
        <row r="43">
          <cell r="C43">
            <v>599</v>
          </cell>
        </row>
        <row r="44">
          <cell r="C44">
            <v>808</v>
          </cell>
        </row>
        <row r="45">
          <cell r="C45">
            <v>1699</v>
          </cell>
        </row>
        <row r="46">
          <cell r="C46">
            <v>1482</v>
          </cell>
        </row>
        <row r="47">
          <cell r="C47">
            <v>2385</v>
          </cell>
        </row>
        <row r="48">
          <cell r="C48">
            <v>626</v>
          </cell>
        </row>
        <row r="49">
          <cell r="C49">
            <v>1267</v>
          </cell>
        </row>
        <row r="50">
          <cell r="C50">
            <v>2004</v>
          </cell>
        </row>
        <row r="51">
          <cell r="C51">
            <v>5570</v>
          </cell>
        </row>
        <row r="52">
          <cell r="C52">
            <v>2834</v>
          </cell>
        </row>
        <row r="53">
          <cell r="C53">
            <v>1798</v>
          </cell>
        </row>
        <row r="54">
          <cell r="C54">
            <v>5432</v>
          </cell>
        </row>
        <row r="55">
          <cell r="C55">
            <v>3568</v>
          </cell>
        </row>
        <row r="56">
          <cell r="C56">
            <v>452</v>
          </cell>
        </row>
        <row r="57">
          <cell r="C57">
            <v>6410</v>
          </cell>
        </row>
        <row r="58">
          <cell r="C58">
            <v>1258</v>
          </cell>
        </row>
        <row r="59">
          <cell r="C59">
            <v>2932</v>
          </cell>
        </row>
        <row r="60">
          <cell r="C60">
            <v>2188</v>
          </cell>
        </row>
        <row r="61">
          <cell r="C61">
            <v>1584</v>
          </cell>
        </row>
        <row r="62">
          <cell r="C62">
            <v>2089</v>
          </cell>
        </row>
        <row r="63">
          <cell r="C63">
            <v>1059</v>
          </cell>
        </row>
        <row r="64">
          <cell r="C64">
            <v>913</v>
          </cell>
        </row>
        <row r="65">
          <cell r="C65">
            <v>467</v>
          </cell>
        </row>
        <row r="66">
          <cell r="C66">
            <v>1396</v>
          </cell>
        </row>
        <row r="67">
          <cell r="C67">
            <v>2331</v>
          </cell>
        </row>
        <row r="68">
          <cell r="C68">
            <v>621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udit Data"/>
      <sheetName val="Weighted Membership Calculation"/>
      <sheetName val="Sheet3"/>
      <sheetName val="EOY comparison included"/>
    </sheetNames>
    <sheetDataSet>
      <sheetData sheetId="3">
        <row r="72">
          <cell r="B72">
            <v>818</v>
          </cell>
        </row>
        <row r="73">
          <cell r="B73">
            <v>498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Membership"/>
      <sheetName val="FreeReduced-Mem"/>
      <sheetName val="FreeLunch-Mem"/>
      <sheetName val="ReducedLunch-Mem"/>
    </sheetNames>
    <sheetDataSet>
      <sheetData sheetId="0">
        <row r="83">
          <cell r="U83">
            <v>811</v>
          </cell>
        </row>
        <row r="84">
          <cell r="U84">
            <v>476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>
            <v>1724</v>
          </cell>
          <cell r="D8">
            <v>103</v>
          </cell>
        </row>
        <row r="9">
          <cell r="C9">
            <v>470</v>
          </cell>
          <cell r="D9">
            <v>126</v>
          </cell>
        </row>
        <row r="10">
          <cell r="C10">
            <v>2319</v>
          </cell>
          <cell r="D10">
            <v>348</v>
          </cell>
        </row>
        <row r="11">
          <cell r="C11">
            <v>586</v>
          </cell>
          <cell r="D11">
            <v>75</v>
          </cell>
        </row>
        <row r="12">
          <cell r="C12">
            <v>755</v>
          </cell>
          <cell r="D12">
            <v>26</v>
          </cell>
        </row>
        <row r="13">
          <cell r="C13">
            <v>704</v>
          </cell>
          <cell r="D13">
            <v>149</v>
          </cell>
        </row>
        <row r="14">
          <cell r="C14">
            <v>355</v>
          </cell>
          <cell r="D14">
            <v>28</v>
          </cell>
        </row>
        <row r="15">
          <cell r="C15">
            <v>2184</v>
          </cell>
          <cell r="D15">
            <v>491</v>
          </cell>
        </row>
        <row r="16">
          <cell r="C16">
            <v>6312</v>
          </cell>
          <cell r="D16">
            <v>1515</v>
          </cell>
        </row>
        <row r="17">
          <cell r="C17">
            <v>4611</v>
          </cell>
          <cell r="D17">
            <v>1069</v>
          </cell>
        </row>
        <row r="18">
          <cell r="C18">
            <v>218</v>
          </cell>
          <cell r="D18">
            <v>32</v>
          </cell>
        </row>
        <row r="19">
          <cell r="C19">
            <v>281</v>
          </cell>
          <cell r="D19">
            <v>117</v>
          </cell>
        </row>
        <row r="20">
          <cell r="C20">
            <v>207</v>
          </cell>
          <cell r="D20">
            <v>52</v>
          </cell>
        </row>
        <row r="21">
          <cell r="C21">
            <v>460</v>
          </cell>
          <cell r="D21">
            <v>167</v>
          </cell>
        </row>
        <row r="22">
          <cell r="C22">
            <v>415</v>
          </cell>
          <cell r="D22">
            <v>38</v>
          </cell>
        </row>
        <row r="23">
          <cell r="C23">
            <v>759</v>
          </cell>
          <cell r="D23">
            <v>75</v>
          </cell>
        </row>
        <row r="24">
          <cell r="C24">
            <v>5910</v>
          </cell>
          <cell r="D24">
            <v>1367</v>
          </cell>
        </row>
        <row r="25">
          <cell r="C25">
            <v>216</v>
          </cell>
          <cell r="D25">
            <v>2</v>
          </cell>
        </row>
        <row r="26">
          <cell r="C26">
            <v>350</v>
          </cell>
          <cell r="D26">
            <v>8</v>
          </cell>
        </row>
        <row r="27">
          <cell r="C27">
            <v>1071</v>
          </cell>
          <cell r="D27">
            <v>42</v>
          </cell>
        </row>
        <row r="28">
          <cell r="C28">
            <v>451</v>
          </cell>
          <cell r="D28">
            <v>101</v>
          </cell>
        </row>
        <row r="29">
          <cell r="C29">
            <v>521</v>
          </cell>
          <cell r="D29">
            <v>53</v>
          </cell>
        </row>
        <row r="30">
          <cell r="C30">
            <v>2465</v>
          </cell>
          <cell r="D30">
            <v>549</v>
          </cell>
        </row>
        <row r="31">
          <cell r="C31">
            <v>687</v>
          </cell>
          <cell r="D31">
            <v>75</v>
          </cell>
        </row>
        <row r="32">
          <cell r="C32">
            <v>298</v>
          </cell>
          <cell r="D32">
            <v>71</v>
          </cell>
        </row>
        <row r="33">
          <cell r="C33">
            <v>7716</v>
          </cell>
          <cell r="D33">
            <v>2671</v>
          </cell>
        </row>
        <row r="34">
          <cell r="C34">
            <v>998</v>
          </cell>
          <cell r="D34">
            <v>119</v>
          </cell>
        </row>
        <row r="35">
          <cell r="C35">
            <v>3442</v>
          </cell>
          <cell r="D35">
            <v>1366</v>
          </cell>
        </row>
        <row r="36">
          <cell r="C36">
            <v>2159</v>
          </cell>
          <cell r="D36">
            <v>230</v>
          </cell>
        </row>
        <row r="37">
          <cell r="C37">
            <v>231</v>
          </cell>
          <cell r="D37">
            <v>41</v>
          </cell>
        </row>
        <row r="38">
          <cell r="C38">
            <v>797</v>
          </cell>
          <cell r="D38">
            <v>169</v>
          </cell>
        </row>
        <row r="39">
          <cell r="C39">
            <v>2134</v>
          </cell>
          <cell r="D39">
            <v>309</v>
          </cell>
        </row>
        <row r="40">
          <cell r="C40">
            <v>269</v>
          </cell>
          <cell r="D40">
            <v>16</v>
          </cell>
        </row>
        <row r="41">
          <cell r="C41">
            <v>856</v>
          </cell>
          <cell r="D41">
            <v>52</v>
          </cell>
        </row>
        <row r="42">
          <cell r="C42">
            <v>840</v>
          </cell>
          <cell r="D42">
            <v>269</v>
          </cell>
        </row>
        <row r="43">
          <cell r="C43">
            <v>7260</v>
          </cell>
          <cell r="D43">
            <v>4479</v>
          </cell>
        </row>
        <row r="44">
          <cell r="C44">
            <v>2069</v>
          </cell>
          <cell r="D44">
            <v>1176</v>
          </cell>
        </row>
        <row r="45">
          <cell r="C45">
            <v>570</v>
          </cell>
          <cell r="D45">
            <v>175</v>
          </cell>
        </row>
        <row r="46">
          <cell r="C46">
            <v>655</v>
          </cell>
          <cell r="D46">
            <v>19</v>
          </cell>
        </row>
        <row r="47">
          <cell r="C47">
            <v>3172</v>
          </cell>
          <cell r="D47">
            <v>426</v>
          </cell>
        </row>
        <row r="48">
          <cell r="C48">
            <v>259</v>
          </cell>
          <cell r="D48">
            <v>3</v>
          </cell>
        </row>
        <row r="49">
          <cell r="C49">
            <v>538</v>
          </cell>
          <cell r="D49">
            <v>95</v>
          </cell>
        </row>
        <row r="50">
          <cell r="C50">
            <v>663</v>
          </cell>
          <cell r="D50">
            <v>70</v>
          </cell>
        </row>
        <row r="51">
          <cell r="C51">
            <v>1301</v>
          </cell>
          <cell r="D51">
            <v>311</v>
          </cell>
        </row>
        <row r="52">
          <cell r="C52">
            <v>1094</v>
          </cell>
          <cell r="D52">
            <v>774</v>
          </cell>
        </row>
        <row r="53">
          <cell r="C53">
            <v>248</v>
          </cell>
          <cell r="D53">
            <v>2</v>
          </cell>
        </row>
        <row r="54">
          <cell r="C54">
            <v>535</v>
          </cell>
          <cell r="D54">
            <v>81</v>
          </cell>
        </row>
        <row r="55">
          <cell r="C55">
            <v>1295</v>
          </cell>
          <cell r="D55">
            <v>94</v>
          </cell>
        </row>
        <row r="56">
          <cell r="C56">
            <v>2430</v>
          </cell>
          <cell r="D56">
            <v>263</v>
          </cell>
        </row>
        <row r="57">
          <cell r="C57">
            <v>1315</v>
          </cell>
          <cell r="D57">
            <v>65</v>
          </cell>
        </row>
        <row r="58">
          <cell r="C58">
            <v>1609</v>
          </cell>
          <cell r="D58">
            <v>204</v>
          </cell>
        </row>
        <row r="59">
          <cell r="C59">
            <v>5335</v>
          </cell>
          <cell r="D59">
            <v>2884</v>
          </cell>
        </row>
        <row r="60">
          <cell r="C60">
            <v>2577</v>
          </cell>
          <cell r="D60">
            <v>206</v>
          </cell>
        </row>
        <row r="61">
          <cell r="C61">
            <v>222</v>
          </cell>
          <cell r="D61">
            <v>76</v>
          </cell>
        </row>
        <row r="62">
          <cell r="C62">
            <v>3170</v>
          </cell>
          <cell r="D62">
            <v>664</v>
          </cell>
        </row>
        <row r="63">
          <cell r="C63">
            <v>445</v>
          </cell>
          <cell r="D63">
            <v>17</v>
          </cell>
        </row>
        <row r="64">
          <cell r="C64">
            <v>1454</v>
          </cell>
          <cell r="D64">
            <v>77</v>
          </cell>
        </row>
        <row r="65">
          <cell r="C65">
            <v>1343</v>
          </cell>
          <cell r="D65">
            <v>269</v>
          </cell>
        </row>
        <row r="66">
          <cell r="C66">
            <v>717</v>
          </cell>
          <cell r="D66">
            <v>290</v>
          </cell>
        </row>
        <row r="67">
          <cell r="C67">
            <v>1010</v>
          </cell>
          <cell r="D67">
            <v>131</v>
          </cell>
        </row>
        <row r="68">
          <cell r="C68">
            <v>446</v>
          </cell>
          <cell r="D68">
            <v>167</v>
          </cell>
        </row>
        <row r="69">
          <cell r="C69">
            <v>298</v>
          </cell>
          <cell r="D69">
            <v>28</v>
          </cell>
        </row>
        <row r="70">
          <cell r="C70">
            <v>353</v>
          </cell>
          <cell r="D70">
            <v>144</v>
          </cell>
        </row>
        <row r="71">
          <cell r="C71">
            <v>328</v>
          </cell>
          <cell r="D71">
            <v>64</v>
          </cell>
        </row>
        <row r="72">
          <cell r="C72">
            <v>1337</v>
          </cell>
          <cell r="D72">
            <v>658</v>
          </cell>
        </row>
        <row r="73">
          <cell r="C73">
            <v>640</v>
          </cell>
          <cell r="D73">
            <v>288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 State Summary"/>
      <sheetName val="Table 2 District Summary"/>
      <sheetName val="Table 3 Distribution W Adj"/>
      <sheetName val="Table 4 Formula"/>
      <sheetName val="Table 5 Lab Schools"/>
      <sheetName val="Tables 6-8 Local Wealth"/>
      <sheetName val="Table 7 Membership"/>
      <sheetName val="Adjustments"/>
    </sheetNames>
    <sheetDataSet>
      <sheetData sheetId="2">
        <row r="76">
          <cell r="F76">
            <v>3110.023306574156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="80" zoomScaleNormal="80" workbookViewId="0" topLeftCell="A1">
      <pane xSplit="15" ySplit="6" topLeftCell="P39" activePane="bottomRight" state="frozen"/>
      <selection pane="topLeft" activeCell="A1" sqref="A1"/>
      <selection pane="topRight" activeCell="P1" sqref="P1"/>
      <selection pane="bottomLeft" activeCell="A7" sqref="A7"/>
      <selection pane="bottomRight" activeCell="A1" sqref="A1:R1"/>
    </sheetView>
  </sheetViews>
  <sheetFormatPr defaultColWidth="9.140625" defaultRowHeight="12.75"/>
  <cols>
    <col min="1" max="1" width="5.28125" style="0" customWidth="1"/>
    <col min="2" max="2" width="3.28125" style="0" customWidth="1"/>
    <col min="3" max="3" width="39.7109375" style="0" customWidth="1"/>
    <col min="4" max="4" width="17.7109375" style="0" hidden="1" customWidth="1"/>
    <col min="5" max="5" width="19.00390625" style="0" hidden="1" customWidth="1"/>
    <col min="6" max="6" width="16.8515625" style="0" hidden="1" customWidth="1"/>
    <col min="7" max="7" width="18.421875" style="0" hidden="1" customWidth="1"/>
    <col min="8" max="8" width="14.28125" style="0" hidden="1" customWidth="1"/>
    <col min="9" max="9" width="20.28125" style="0" hidden="1" customWidth="1"/>
    <col min="10" max="10" width="14.57421875" style="0" hidden="1" customWidth="1"/>
    <col min="11" max="11" width="0" style="0" hidden="1" customWidth="1"/>
    <col min="12" max="12" width="15.7109375" style="0" hidden="1" customWidth="1"/>
    <col min="13" max="13" width="8.00390625" style="0" hidden="1" customWidth="1"/>
    <col min="14" max="14" width="18.8515625" style="0" hidden="1" customWidth="1"/>
    <col min="15" max="15" width="23.28125" style="0" customWidth="1"/>
    <col min="16" max="16" width="19.8515625" style="0" customWidth="1"/>
    <col min="17" max="17" width="18.28125" style="0" customWidth="1"/>
    <col min="18" max="18" width="12.00390625" style="0" customWidth="1"/>
    <col min="19" max="19" width="1.1484375" style="0" customWidth="1"/>
    <col min="20" max="20" width="15.28125" style="0" customWidth="1"/>
    <col min="21" max="21" width="21.7109375" style="0" customWidth="1"/>
  </cols>
  <sheetData>
    <row r="1" spans="1:18" ht="25.5">
      <c r="A1" s="824" t="s">
        <v>307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</row>
    <row r="2" spans="1:18" s="117" customFormat="1" ht="15" customHeight="1" thickBot="1">
      <c r="A2" s="830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</row>
    <row r="3" spans="1:19" ht="16.5" customHeight="1" thickTop="1">
      <c r="A3" s="62"/>
      <c r="B3" s="63"/>
      <c r="C3" s="171"/>
      <c r="D3" s="172" t="s">
        <v>267</v>
      </c>
      <c r="E3" s="172" t="s">
        <v>268</v>
      </c>
      <c r="F3" s="172" t="s">
        <v>269</v>
      </c>
      <c r="G3" s="172" t="s">
        <v>270</v>
      </c>
      <c r="H3" s="172" t="s">
        <v>271</v>
      </c>
      <c r="I3" s="172" t="s">
        <v>272</v>
      </c>
      <c r="J3" s="172" t="s">
        <v>273</v>
      </c>
      <c r="K3" s="173"/>
      <c r="L3" s="174" t="s">
        <v>273</v>
      </c>
      <c r="M3" s="174"/>
      <c r="N3" s="174" t="s">
        <v>273</v>
      </c>
      <c r="O3" s="825" t="s">
        <v>719</v>
      </c>
      <c r="P3" s="825" t="s">
        <v>724</v>
      </c>
      <c r="Q3" s="798" t="s">
        <v>725</v>
      </c>
      <c r="R3" s="64"/>
      <c r="S3" s="65"/>
    </row>
    <row r="4" spans="1:19" ht="20.25">
      <c r="A4" s="66"/>
      <c r="B4" s="67"/>
      <c r="C4" s="732"/>
      <c r="D4" s="175" t="s">
        <v>275</v>
      </c>
      <c r="E4" s="175" t="s">
        <v>276</v>
      </c>
      <c r="F4" s="175" t="s">
        <v>277</v>
      </c>
      <c r="G4" s="175" t="s">
        <v>227</v>
      </c>
      <c r="H4" s="175" t="s">
        <v>227</v>
      </c>
      <c r="I4" s="175" t="s">
        <v>278</v>
      </c>
      <c r="J4" s="175" t="s">
        <v>279</v>
      </c>
      <c r="K4" s="176"/>
      <c r="L4" s="177" t="s">
        <v>280</v>
      </c>
      <c r="M4" s="177"/>
      <c r="N4" s="177" t="s">
        <v>281</v>
      </c>
      <c r="O4" s="826"/>
      <c r="P4" s="826"/>
      <c r="Q4" s="799" t="s">
        <v>728</v>
      </c>
      <c r="R4" s="177" t="s">
        <v>282</v>
      </c>
      <c r="S4" s="68"/>
    </row>
    <row r="5" spans="1:19" ht="15.75">
      <c r="A5" s="66"/>
      <c r="B5" s="67"/>
      <c r="C5" s="178"/>
      <c r="D5" s="175" t="s">
        <v>228</v>
      </c>
      <c r="E5" s="175" t="s">
        <v>228</v>
      </c>
      <c r="F5" s="175"/>
      <c r="G5" s="175" t="s">
        <v>228</v>
      </c>
      <c r="H5" s="175" t="s">
        <v>228</v>
      </c>
      <c r="I5" s="175" t="s">
        <v>228</v>
      </c>
      <c r="J5" s="175" t="s">
        <v>283</v>
      </c>
      <c r="K5" s="176" t="s">
        <v>282</v>
      </c>
      <c r="L5" s="177" t="s">
        <v>284</v>
      </c>
      <c r="M5" s="177" t="s">
        <v>282</v>
      </c>
      <c r="N5" s="177" t="s">
        <v>285</v>
      </c>
      <c r="O5" s="826"/>
      <c r="P5" s="826"/>
      <c r="Q5" s="799" t="s">
        <v>726</v>
      </c>
      <c r="R5" s="177" t="s">
        <v>266</v>
      </c>
      <c r="S5" s="68"/>
    </row>
    <row r="6" spans="1:19" ht="30" customHeight="1" thickBot="1">
      <c r="A6" s="69"/>
      <c r="B6" s="70"/>
      <c r="C6" s="731" t="s">
        <v>274</v>
      </c>
      <c r="D6" s="179" t="s">
        <v>229</v>
      </c>
      <c r="E6" s="179" t="s">
        <v>229</v>
      </c>
      <c r="F6" s="179"/>
      <c r="G6" s="179" t="s">
        <v>229</v>
      </c>
      <c r="H6" s="179" t="s">
        <v>229</v>
      </c>
      <c r="I6" s="179" t="s">
        <v>229</v>
      </c>
      <c r="J6" s="179"/>
      <c r="K6" s="180"/>
      <c r="L6" s="179"/>
      <c r="M6" s="181"/>
      <c r="N6" s="182"/>
      <c r="O6" s="827"/>
      <c r="P6" s="827"/>
      <c r="Q6" s="800" t="s">
        <v>727</v>
      </c>
      <c r="R6" s="71"/>
      <c r="S6" s="72"/>
    </row>
    <row r="7" spans="1:21" ht="16.5" thickTop="1">
      <c r="A7" s="73"/>
      <c r="B7" s="74"/>
      <c r="C7" s="730"/>
      <c r="D7" s="76"/>
      <c r="E7" s="76"/>
      <c r="F7" s="76"/>
      <c r="G7" s="76"/>
      <c r="H7" s="76"/>
      <c r="I7" s="76"/>
      <c r="J7" s="76"/>
      <c r="K7" s="77"/>
      <c r="L7" s="76"/>
      <c r="M7" s="78"/>
      <c r="N7" s="78"/>
      <c r="O7" s="78"/>
      <c r="P7" s="78"/>
      <c r="Q7" s="78"/>
      <c r="R7" s="78"/>
      <c r="S7" s="79"/>
      <c r="U7">
        <f>3103*1.0275</f>
        <v>3188.3325000000004</v>
      </c>
    </row>
    <row r="8" spans="1:21" ht="32.25" customHeight="1" thickBot="1">
      <c r="A8" s="236" t="s">
        <v>251</v>
      </c>
      <c r="B8" s="237" t="s">
        <v>230</v>
      </c>
      <c r="C8" s="238"/>
      <c r="D8" s="239">
        <v>2602</v>
      </c>
      <c r="E8" s="239">
        <v>2929</v>
      </c>
      <c r="F8" s="239">
        <v>3020</v>
      </c>
      <c r="G8" s="239">
        <v>3020</v>
      </c>
      <c r="H8" s="239">
        <v>3020</v>
      </c>
      <c r="I8" s="239">
        <v>3020</v>
      </c>
      <c r="J8" s="239">
        <f aca="true" t="shared" si="0" ref="J8:J15">E8-D8</f>
        <v>327</v>
      </c>
      <c r="K8" s="240">
        <f aca="true" t="shared" si="1" ref="K8:K15">ROUND((E8/D8)-1,3)</f>
        <v>0.126</v>
      </c>
      <c r="L8" s="239">
        <f aca="true" t="shared" si="2" ref="L8:L15">I8-E8</f>
        <v>91</v>
      </c>
      <c r="M8" s="241">
        <f aca="true" t="shared" si="3" ref="M8:M15">ROUND((I8/E8)-1,3)</f>
        <v>0.031</v>
      </c>
      <c r="N8" s="242">
        <f aca="true" t="shared" si="4" ref="N8:N15">I8-F8</f>
        <v>0</v>
      </c>
      <c r="O8" s="239">
        <v>3103</v>
      </c>
      <c r="P8" s="239">
        <f>'Table 3 Levels 1&amp;2'!V76</f>
        <v>3188</v>
      </c>
      <c r="Q8" s="239">
        <f>P8-O8</f>
        <v>85</v>
      </c>
      <c r="R8" s="300">
        <f aca="true" t="shared" si="5" ref="R8:R15">ROUND((P8/O8)-1,4)</f>
        <v>0.0274</v>
      </c>
      <c r="S8" s="286"/>
      <c r="U8">
        <f>+U7-U9</f>
        <v>3183.6936690678635</v>
      </c>
    </row>
    <row r="9" spans="1:21" ht="25.5" customHeight="1">
      <c r="A9" s="243" t="s">
        <v>252</v>
      </c>
      <c r="B9" s="244" t="s">
        <v>499</v>
      </c>
      <c r="C9" s="245"/>
      <c r="D9" s="246">
        <v>1110031</v>
      </c>
      <c r="E9" s="246">
        <f>SUM(E10:E15)</f>
        <v>1018555</v>
      </c>
      <c r="F9" s="246">
        <f>SUM(F10:F15)</f>
        <v>1014857</v>
      </c>
      <c r="G9" s="246">
        <v>1014579</v>
      </c>
      <c r="H9" s="246">
        <v>1015041</v>
      </c>
      <c r="I9" s="246">
        <f>SUM(I10:I15)</f>
        <v>1005082</v>
      </c>
      <c r="J9" s="246">
        <f t="shared" si="0"/>
        <v>-91476</v>
      </c>
      <c r="K9" s="247">
        <f t="shared" si="1"/>
        <v>-0.082</v>
      </c>
      <c r="L9" s="246">
        <f t="shared" si="2"/>
        <v>-13473</v>
      </c>
      <c r="M9" s="248">
        <f t="shared" si="3"/>
        <v>-0.013</v>
      </c>
      <c r="N9" s="249">
        <f t="shared" si="4"/>
        <v>-9775</v>
      </c>
      <c r="O9" s="246">
        <v>981811</v>
      </c>
      <c r="P9" s="246">
        <f>SUM(P10:P15)</f>
        <v>970072</v>
      </c>
      <c r="Q9" s="250">
        <f>P9-O9</f>
        <v>-11739</v>
      </c>
      <c r="R9" s="301">
        <f t="shared" si="5"/>
        <v>-0.012</v>
      </c>
      <c r="S9" s="88"/>
      <c r="U9">
        <f>4500000/P9</f>
        <v>4.638830932136996</v>
      </c>
    </row>
    <row r="10" spans="1:21" ht="18.75" customHeight="1">
      <c r="A10" s="86"/>
      <c r="B10" s="89" t="s">
        <v>231</v>
      </c>
      <c r="C10" s="87" t="s">
        <v>232</v>
      </c>
      <c r="D10" s="90">
        <v>777570</v>
      </c>
      <c r="E10" s="90">
        <v>765383</v>
      </c>
      <c r="F10" s="90">
        <v>761616</v>
      </c>
      <c r="G10" s="90">
        <v>761347</v>
      </c>
      <c r="H10" s="90">
        <v>758638</v>
      </c>
      <c r="I10" s="90">
        <v>753722</v>
      </c>
      <c r="J10" s="90">
        <f t="shared" si="0"/>
        <v>-12187</v>
      </c>
      <c r="K10" s="91">
        <f t="shared" si="1"/>
        <v>-0.016</v>
      </c>
      <c r="L10" s="92">
        <f t="shared" si="2"/>
        <v>-11661</v>
      </c>
      <c r="M10" s="93">
        <f t="shared" si="3"/>
        <v>-0.015</v>
      </c>
      <c r="N10" s="94">
        <f t="shared" si="4"/>
        <v>-7894</v>
      </c>
      <c r="O10" s="90">
        <v>727255</v>
      </c>
      <c r="P10" s="90">
        <f>'Table 3 Levels 1&amp;2'!C76</f>
        <v>714020</v>
      </c>
      <c r="Q10" s="208">
        <f aca="true" t="shared" si="6" ref="Q10:Q15">P10-O10</f>
        <v>-13235</v>
      </c>
      <c r="R10" s="302">
        <f t="shared" si="5"/>
        <v>-0.0182</v>
      </c>
      <c r="S10" s="95"/>
      <c r="U10">
        <f>U9*1.65</f>
        <v>7.654071038026042</v>
      </c>
    </row>
    <row r="11" spans="1:21" ht="18.75" customHeight="1">
      <c r="A11" s="86"/>
      <c r="B11" s="89" t="s">
        <v>233</v>
      </c>
      <c r="C11" s="87" t="s">
        <v>234</v>
      </c>
      <c r="D11" s="90">
        <f>66519+8312</f>
        <v>74831</v>
      </c>
      <c r="E11" s="90">
        <v>75931</v>
      </c>
      <c r="F11" s="90">
        <v>75931</v>
      </c>
      <c r="G11" s="90"/>
      <c r="H11" s="90"/>
      <c r="I11" s="90">
        <v>73730</v>
      </c>
      <c r="J11" s="90">
        <f t="shared" si="0"/>
        <v>1100</v>
      </c>
      <c r="K11" s="91">
        <f t="shared" si="1"/>
        <v>0.015</v>
      </c>
      <c r="L11" s="92">
        <f t="shared" si="2"/>
        <v>-2201</v>
      </c>
      <c r="M11" s="93">
        <f t="shared" si="3"/>
        <v>-0.029</v>
      </c>
      <c r="N11" s="94">
        <f t="shared" si="4"/>
        <v>-2201</v>
      </c>
      <c r="O11" s="90">
        <v>71893</v>
      </c>
      <c r="P11" s="90">
        <f>'Table 3 Levels 1&amp;2'!F76</f>
        <v>71556</v>
      </c>
      <c r="Q11" s="208">
        <f t="shared" si="6"/>
        <v>-337</v>
      </c>
      <c r="R11" s="302">
        <f t="shared" si="5"/>
        <v>-0.0047</v>
      </c>
      <c r="S11" s="95"/>
      <c r="U11">
        <f>+U7-U10</f>
        <v>3180.6784289619745</v>
      </c>
    </row>
    <row r="12" spans="1:19" ht="18.75" customHeight="1">
      <c r="A12" s="86"/>
      <c r="B12" s="89" t="s">
        <v>235</v>
      </c>
      <c r="C12" s="87" t="s">
        <v>236</v>
      </c>
      <c r="D12" s="90">
        <v>9415</v>
      </c>
      <c r="E12" s="90">
        <v>9467</v>
      </c>
      <c r="F12" s="90">
        <v>9467</v>
      </c>
      <c r="G12" s="90"/>
      <c r="H12" s="90"/>
      <c r="I12" s="90">
        <v>9424</v>
      </c>
      <c r="J12" s="90">
        <f t="shared" si="0"/>
        <v>52</v>
      </c>
      <c r="K12" s="91">
        <f t="shared" si="1"/>
        <v>0.006</v>
      </c>
      <c r="L12" s="92">
        <f t="shared" si="2"/>
        <v>-43</v>
      </c>
      <c r="M12" s="93">
        <f t="shared" si="3"/>
        <v>-0.005</v>
      </c>
      <c r="N12" s="94">
        <f t="shared" si="4"/>
        <v>-43</v>
      </c>
      <c r="O12" s="90">
        <v>9256</v>
      </c>
      <c r="P12" s="90">
        <f>'Table 3 Levels 1&amp;2'!I76</f>
        <v>8793</v>
      </c>
      <c r="Q12" s="208">
        <f t="shared" si="6"/>
        <v>-463</v>
      </c>
      <c r="R12" s="302">
        <f t="shared" si="5"/>
        <v>-0.05</v>
      </c>
      <c r="S12" s="95"/>
    </row>
    <row r="13" spans="1:19" ht="18.75" customHeight="1">
      <c r="A13" s="86"/>
      <c r="B13" s="89" t="s">
        <v>237</v>
      </c>
      <c r="C13" s="87" t="s">
        <v>238</v>
      </c>
      <c r="D13" s="90">
        <v>153903</v>
      </c>
      <c r="E13" s="90">
        <v>141014</v>
      </c>
      <c r="F13" s="90">
        <v>141014</v>
      </c>
      <c r="G13" s="90"/>
      <c r="H13" s="90"/>
      <c r="I13" s="90">
        <v>140980</v>
      </c>
      <c r="J13" s="90">
        <f t="shared" si="0"/>
        <v>-12889</v>
      </c>
      <c r="K13" s="91">
        <f t="shared" si="1"/>
        <v>-0.084</v>
      </c>
      <c r="L13" s="92">
        <f t="shared" si="2"/>
        <v>-34</v>
      </c>
      <c r="M13" s="93">
        <f t="shared" si="3"/>
        <v>0</v>
      </c>
      <c r="N13" s="94">
        <f t="shared" si="4"/>
        <v>-34</v>
      </c>
      <c r="O13" s="90">
        <v>145608</v>
      </c>
      <c r="P13" s="90">
        <f>'Table 3 Levels 1&amp;2'!L76</f>
        <v>147705</v>
      </c>
      <c r="Q13" s="208">
        <f t="shared" si="6"/>
        <v>2097</v>
      </c>
      <c r="R13" s="302">
        <f t="shared" si="5"/>
        <v>0.0144</v>
      </c>
      <c r="S13" s="95"/>
    </row>
    <row r="14" spans="1:19" ht="18.75" customHeight="1">
      <c r="A14" s="86"/>
      <c r="B14" s="89" t="s">
        <v>239</v>
      </c>
      <c r="C14" s="87" t="s">
        <v>240</v>
      </c>
      <c r="D14" s="90">
        <v>17104</v>
      </c>
      <c r="E14" s="90">
        <v>14755</v>
      </c>
      <c r="F14" s="90">
        <v>14755</v>
      </c>
      <c r="G14" s="90"/>
      <c r="H14" s="90"/>
      <c r="I14" s="90">
        <v>15101</v>
      </c>
      <c r="J14" s="90">
        <f t="shared" si="0"/>
        <v>-2349</v>
      </c>
      <c r="K14" s="91">
        <f t="shared" si="1"/>
        <v>-0.137</v>
      </c>
      <c r="L14" s="92">
        <f t="shared" si="2"/>
        <v>346</v>
      </c>
      <c r="M14" s="93">
        <f t="shared" si="3"/>
        <v>0.023</v>
      </c>
      <c r="N14" s="94">
        <f t="shared" si="4"/>
        <v>346</v>
      </c>
      <c r="O14" s="90">
        <v>15554</v>
      </c>
      <c r="P14" s="90">
        <f>'Table 3 Levels 1&amp;2'!O76</f>
        <v>15672</v>
      </c>
      <c r="Q14" s="208">
        <f t="shared" si="6"/>
        <v>118</v>
      </c>
      <c r="R14" s="302">
        <f t="shared" si="5"/>
        <v>0.0076</v>
      </c>
      <c r="S14" s="95"/>
    </row>
    <row r="15" spans="1:19" ht="18.75" customHeight="1">
      <c r="A15" s="86"/>
      <c r="B15" s="96" t="s">
        <v>241</v>
      </c>
      <c r="C15" s="75" t="s">
        <v>286</v>
      </c>
      <c r="D15" s="97">
        <v>3397</v>
      </c>
      <c r="E15" s="97">
        <v>12005</v>
      </c>
      <c r="F15" s="97">
        <v>12074</v>
      </c>
      <c r="G15" s="97"/>
      <c r="H15" s="97"/>
      <c r="I15" s="97">
        <v>12125</v>
      </c>
      <c r="J15" s="97">
        <f t="shared" si="0"/>
        <v>8608</v>
      </c>
      <c r="K15" s="98">
        <f t="shared" si="1"/>
        <v>2.534</v>
      </c>
      <c r="L15" s="99">
        <f t="shared" si="2"/>
        <v>120</v>
      </c>
      <c r="M15" s="100">
        <f t="shared" si="3"/>
        <v>0.01</v>
      </c>
      <c r="N15" s="101">
        <f t="shared" si="4"/>
        <v>51</v>
      </c>
      <c r="O15" s="97">
        <v>12245</v>
      </c>
      <c r="P15" s="97">
        <f>'Table 3 Levels 1&amp;2'!S76</f>
        <v>12326</v>
      </c>
      <c r="Q15" s="209">
        <f t="shared" si="6"/>
        <v>81</v>
      </c>
      <c r="R15" s="303">
        <f t="shared" si="5"/>
        <v>0.0066</v>
      </c>
      <c r="S15" s="102"/>
    </row>
    <row r="16" spans="1:19" ht="16.5" thickBot="1">
      <c r="A16" s="251"/>
      <c r="B16" s="252"/>
      <c r="C16" s="253" t="s">
        <v>242</v>
      </c>
      <c r="D16" s="254"/>
      <c r="E16" s="254"/>
      <c r="F16" s="254"/>
      <c r="G16" s="254"/>
      <c r="H16" s="254"/>
      <c r="I16" s="254"/>
      <c r="J16" s="254"/>
      <c r="K16" s="255"/>
      <c r="L16" s="254"/>
      <c r="M16" s="256"/>
      <c r="N16" s="257"/>
      <c r="O16" s="254"/>
      <c r="P16" s="254"/>
      <c r="Q16" s="254"/>
      <c r="R16" s="304"/>
      <c r="S16" s="283"/>
    </row>
    <row r="17" spans="1:19" ht="30.75" customHeight="1">
      <c r="A17" s="86" t="s">
        <v>253</v>
      </c>
      <c r="B17" s="81" t="s">
        <v>243</v>
      </c>
      <c r="C17" s="104"/>
      <c r="D17" s="82">
        <v>2888300662</v>
      </c>
      <c r="E17" s="82">
        <v>2983347595</v>
      </c>
      <c r="F17" s="82">
        <v>3064868140</v>
      </c>
      <c r="G17" s="82">
        <v>3064028580</v>
      </c>
      <c r="H17" s="82">
        <v>3065423820</v>
      </c>
      <c r="I17" s="82">
        <v>3035347640</v>
      </c>
      <c r="J17" s="82">
        <f aca="true" t="shared" si="7" ref="J17:J30">E17-D17</f>
        <v>95046933</v>
      </c>
      <c r="K17" s="83">
        <f aca="true" t="shared" si="8" ref="K17:K30">ROUND((E17/D17)-1,3)</f>
        <v>0.033</v>
      </c>
      <c r="L17" s="82">
        <f aca="true" t="shared" si="9" ref="L17:L30">I17-E17</f>
        <v>52000045</v>
      </c>
      <c r="M17" s="84">
        <f aca="true" t="shared" si="10" ref="M17:M30">ROUND((I17/E17)-1,3)</f>
        <v>0.017</v>
      </c>
      <c r="N17" s="85">
        <f>I17-F17</f>
        <v>-29520500</v>
      </c>
      <c r="O17" s="82">
        <v>3046559533</v>
      </c>
      <c r="P17" s="82">
        <f>'Table 3 Levels 1&amp;2'!W76</f>
        <v>3092589536</v>
      </c>
      <c r="Q17" s="82">
        <f aca="true" t="shared" si="11" ref="Q17:Q30">P17-O17</f>
        <v>46030003</v>
      </c>
      <c r="R17" s="302">
        <f aca="true" t="shared" si="12" ref="R17:R30">ROUND((P17/O17)-1,4)</f>
        <v>0.0151</v>
      </c>
      <c r="S17" s="88"/>
    </row>
    <row r="18" spans="1:19" ht="18.75" customHeight="1">
      <c r="A18" s="86"/>
      <c r="B18" s="529" t="s">
        <v>231</v>
      </c>
      <c r="C18" s="530" t="s">
        <v>244</v>
      </c>
      <c r="D18" s="531">
        <v>1877396685</v>
      </c>
      <c r="E18" s="531">
        <v>1939172786</v>
      </c>
      <c r="F18" s="531">
        <v>1992166404</v>
      </c>
      <c r="G18" s="531">
        <v>1991617723</v>
      </c>
      <c r="H18" s="531">
        <v>1993806997</v>
      </c>
      <c r="I18" s="531">
        <v>1973679261</v>
      </c>
      <c r="J18" s="531">
        <f t="shared" si="7"/>
        <v>61776101</v>
      </c>
      <c r="K18" s="532">
        <f t="shared" si="8"/>
        <v>0.033</v>
      </c>
      <c r="L18" s="531">
        <f t="shared" si="9"/>
        <v>34506475</v>
      </c>
      <c r="M18" s="533">
        <f t="shared" si="10"/>
        <v>0.018</v>
      </c>
      <c r="N18" s="534">
        <f>I18-F18</f>
        <v>-18487143</v>
      </c>
      <c r="O18" s="531">
        <v>1980262918.0540388</v>
      </c>
      <c r="P18" s="531">
        <f>'Table 3 Levels 1&amp;2'!AC76</f>
        <v>2010179944</v>
      </c>
      <c r="Q18" s="531">
        <f t="shared" si="11"/>
        <v>29917025.945961237</v>
      </c>
      <c r="R18" s="536">
        <f t="shared" si="12"/>
        <v>0.0151</v>
      </c>
      <c r="S18" s="95"/>
    </row>
    <row r="19" spans="1:19" ht="18.75" customHeight="1" thickBot="1">
      <c r="A19" s="251"/>
      <c r="B19" s="258" t="s">
        <v>233</v>
      </c>
      <c r="C19" s="259" t="s">
        <v>245</v>
      </c>
      <c r="D19" s="260">
        <v>1010903977</v>
      </c>
      <c r="E19" s="260">
        <v>1044174809</v>
      </c>
      <c r="F19" s="260">
        <v>1072701736</v>
      </c>
      <c r="G19" s="260">
        <v>1072410857</v>
      </c>
      <c r="H19" s="260">
        <v>1071616823</v>
      </c>
      <c r="I19" s="260">
        <v>1061668379</v>
      </c>
      <c r="J19" s="260">
        <f t="shared" si="7"/>
        <v>33270832</v>
      </c>
      <c r="K19" s="261">
        <f t="shared" si="8"/>
        <v>0.033</v>
      </c>
      <c r="L19" s="260">
        <f t="shared" si="9"/>
        <v>17493570</v>
      </c>
      <c r="M19" s="262">
        <f t="shared" si="10"/>
        <v>0.017</v>
      </c>
      <c r="N19" s="263">
        <f>I19-F19</f>
        <v>-11033357</v>
      </c>
      <c r="O19" s="260">
        <v>1066296614.9459608</v>
      </c>
      <c r="P19" s="260">
        <f>'Table 3 Levels 1&amp;2'!AA76</f>
        <v>1082409592</v>
      </c>
      <c r="Q19" s="260">
        <f t="shared" si="11"/>
        <v>16112977.05403924</v>
      </c>
      <c r="R19" s="304">
        <f t="shared" si="12"/>
        <v>0.0151</v>
      </c>
      <c r="S19" s="284"/>
    </row>
    <row r="20" spans="1:19" ht="29.25" customHeight="1">
      <c r="A20" s="806" t="s">
        <v>254</v>
      </c>
      <c r="B20" s="81" t="s">
        <v>287</v>
      </c>
      <c r="C20" s="441"/>
      <c r="D20" s="82">
        <v>1293050796</v>
      </c>
      <c r="E20" s="82">
        <v>1396291649</v>
      </c>
      <c r="F20" s="106"/>
      <c r="G20" s="82"/>
      <c r="H20" s="82"/>
      <c r="I20" s="82">
        <v>1522075907</v>
      </c>
      <c r="J20" s="82">
        <f t="shared" si="7"/>
        <v>103240853</v>
      </c>
      <c r="K20" s="83">
        <f t="shared" si="8"/>
        <v>0.08</v>
      </c>
      <c r="L20" s="82">
        <f t="shared" si="9"/>
        <v>125784258</v>
      </c>
      <c r="M20" s="84">
        <f t="shared" si="10"/>
        <v>0.09</v>
      </c>
      <c r="N20" s="106"/>
      <c r="O20" s="82">
        <v>1694006977.5</v>
      </c>
      <c r="P20" s="82">
        <f>+'Table 7 Local Revenue'!AL75</f>
        <v>1781860271</v>
      </c>
      <c r="Q20" s="82">
        <f t="shared" si="11"/>
        <v>87853293.5</v>
      </c>
      <c r="R20" s="302">
        <f t="shared" si="12"/>
        <v>0.0519</v>
      </c>
      <c r="S20" s="88"/>
    </row>
    <row r="21" spans="1:19" ht="18.75" customHeight="1">
      <c r="A21" s="80"/>
      <c r="B21" s="105" t="s">
        <v>231</v>
      </c>
      <c r="C21" s="81" t="s">
        <v>288</v>
      </c>
      <c r="D21" s="82">
        <v>12567779462</v>
      </c>
      <c r="E21" s="82">
        <v>13743189478</v>
      </c>
      <c r="F21" s="82"/>
      <c r="G21" s="82"/>
      <c r="H21" s="82"/>
      <c r="I21" s="82">
        <v>14711025871</v>
      </c>
      <c r="J21" s="82">
        <f t="shared" si="7"/>
        <v>1175410016</v>
      </c>
      <c r="K21" s="83">
        <f t="shared" si="8"/>
        <v>0.094</v>
      </c>
      <c r="L21" s="82">
        <f t="shared" si="9"/>
        <v>967836393</v>
      </c>
      <c r="M21" s="84">
        <f t="shared" si="10"/>
        <v>0.07</v>
      </c>
      <c r="N21" s="85"/>
      <c r="O21" s="82">
        <v>15959286273</v>
      </c>
      <c r="P21" s="82">
        <f>'Table 7 Local Revenue'!F75</f>
        <v>17014342971</v>
      </c>
      <c r="Q21" s="82">
        <f t="shared" si="11"/>
        <v>1055056698</v>
      </c>
      <c r="R21" s="302">
        <f t="shared" si="12"/>
        <v>0.0661</v>
      </c>
      <c r="S21" s="88"/>
    </row>
    <row r="22" spans="1:19" ht="18.75" customHeight="1">
      <c r="A22" s="80"/>
      <c r="B22" s="105" t="s">
        <v>233</v>
      </c>
      <c r="C22" s="81" t="s">
        <v>289</v>
      </c>
      <c r="D22" s="82">
        <v>47846595002</v>
      </c>
      <c r="E22" s="82">
        <v>49212367089</v>
      </c>
      <c r="F22" s="82"/>
      <c r="G22" s="82"/>
      <c r="H22" s="82"/>
      <c r="I22" s="82">
        <v>52854905379</v>
      </c>
      <c r="J22" s="82">
        <f t="shared" si="7"/>
        <v>1365772087</v>
      </c>
      <c r="K22" s="83">
        <f t="shared" si="8"/>
        <v>0.029</v>
      </c>
      <c r="L22" s="82">
        <f t="shared" si="9"/>
        <v>3642538290</v>
      </c>
      <c r="M22" s="84">
        <f t="shared" si="10"/>
        <v>0.074</v>
      </c>
      <c r="N22" s="85"/>
      <c r="O22" s="82">
        <v>55642123964</v>
      </c>
      <c r="P22" s="82">
        <f>'Table 7 Local Revenue'!AH75</f>
        <v>57659777019</v>
      </c>
      <c r="Q22" s="82">
        <f t="shared" si="11"/>
        <v>2017653055</v>
      </c>
      <c r="R22" s="302">
        <f t="shared" si="12"/>
        <v>0.0363</v>
      </c>
      <c r="S22" s="88"/>
    </row>
    <row r="23" spans="1:19" ht="15.75">
      <c r="A23" s="80"/>
      <c r="B23" s="105" t="s">
        <v>235</v>
      </c>
      <c r="C23" s="81" t="s">
        <v>290</v>
      </c>
      <c r="D23" s="107">
        <v>38.66</v>
      </c>
      <c r="E23" s="107">
        <v>39.45</v>
      </c>
      <c r="F23" s="107"/>
      <c r="G23" s="82"/>
      <c r="H23" s="82"/>
      <c r="I23" s="107">
        <v>40.96</v>
      </c>
      <c r="J23" s="107">
        <f t="shared" si="7"/>
        <v>0.7900000000000063</v>
      </c>
      <c r="K23" s="83">
        <f t="shared" si="8"/>
        <v>0.02</v>
      </c>
      <c r="L23" s="107">
        <f t="shared" si="9"/>
        <v>1.509999999999998</v>
      </c>
      <c r="M23" s="84">
        <f t="shared" si="10"/>
        <v>0.038</v>
      </c>
      <c r="N23" s="107"/>
      <c r="O23" s="107">
        <v>41.11</v>
      </c>
      <c r="P23" s="107">
        <f>'Table 7 Local Revenue'!AB75</f>
        <v>40.821</v>
      </c>
      <c r="Q23" s="107">
        <f t="shared" si="11"/>
        <v>-0.2890000000000015</v>
      </c>
      <c r="R23" s="302">
        <f t="shared" si="12"/>
        <v>-0.007</v>
      </c>
      <c r="S23" s="88"/>
    </row>
    <row r="24" spans="1:19" ht="15.75">
      <c r="A24" s="80"/>
      <c r="B24" s="105" t="s">
        <v>237</v>
      </c>
      <c r="C24" s="81" t="s">
        <v>291</v>
      </c>
      <c r="D24" s="106">
        <v>0.0161</v>
      </c>
      <c r="E24" s="106">
        <v>0.0165</v>
      </c>
      <c r="F24" s="106"/>
      <c r="G24" s="82"/>
      <c r="H24" s="82"/>
      <c r="I24" s="106">
        <v>0.0167</v>
      </c>
      <c r="J24" s="106">
        <f t="shared" si="7"/>
        <v>0.00040000000000000105</v>
      </c>
      <c r="K24" s="83">
        <f t="shared" si="8"/>
        <v>0.025</v>
      </c>
      <c r="L24" s="106">
        <f t="shared" si="9"/>
        <v>0.0001999999999999988</v>
      </c>
      <c r="M24" s="84">
        <f t="shared" si="10"/>
        <v>0.012</v>
      </c>
      <c r="N24" s="106"/>
      <c r="O24" s="106">
        <v>0.018</v>
      </c>
      <c r="P24" s="106">
        <f>'Table 7 Local Revenue'!AD75</f>
        <v>0.0182</v>
      </c>
      <c r="Q24" s="106">
        <f t="shared" si="11"/>
        <v>0.00020000000000000226</v>
      </c>
      <c r="R24" s="302">
        <f t="shared" si="12"/>
        <v>0.0111</v>
      </c>
      <c r="S24" s="88"/>
    </row>
    <row r="25" spans="1:19" ht="18.75" customHeight="1">
      <c r="A25" s="80"/>
      <c r="B25" s="105" t="s">
        <v>239</v>
      </c>
      <c r="C25" s="81" t="s">
        <v>292</v>
      </c>
      <c r="D25" s="82">
        <v>485842655</v>
      </c>
      <c r="E25" s="82">
        <v>542136247</v>
      </c>
      <c r="F25" s="82"/>
      <c r="G25" s="82"/>
      <c r="H25" s="82"/>
      <c r="I25" s="82">
        <v>602587293</v>
      </c>
      <c r="J25" s="82">
        <f t="shared" si="7"/>
        <v>56293592</v>
      </c>
      <c r="K25" s="83">
        <f t="shared" si="8"/>
        <v>0.116</v>
      </c>
      <c r="L25" s="82">
        <f t="shared" si="9"/>
        <v>60451046</v>
      </c>
      <c r="M25" s="84">
        <f t="shared" si="10"/>
        <v>0.112</v>
      </c>
      <c r="N25" s="82"/>
      <c r="O25" s="82">
        <v>656093426</v>
      </c>
      <c r="P25" s="82">
        <f>+'Table 7 Local Revenue'!AC75</f>
        <v>694534460</v>
      </c>
      <c r="Q25" s="82">
        <f t="shared" si="11"/>
        <v>38441034</v>
      </c>
      <c r="R25" s="302">
        <f t="shared" si="12"/>
        <v>0.0586</v>
      </c>
      <c r="S25" s="88"/>
    </row>
    <row r="26" spans="1:19" ht="18.75" customHeight="1">
      <c r="A26" s="80"/>
      <c r="B26" s="105" t="s">
        <v>241</v>
      </c>
      <c r="C26" s="81" t="s">
        <v>293</v>
      </c>
      <c r="D26" s="82">
        <v>768234160</v>
      </c>
      <c r="E26" s="82">
        <v>813262728</v>
      </c>
      <c r="F26" s="82"/>
      <c r="G26" s="82"/>
      <c r="H26" s="82"/>
      <c r="I26" s="82">
        <v>880750023</v>
      </c>
      <c r="J26" s="82">
        <f t="shared" si="7"/>
        <v>45028568</v>
      </c>
      <c r="K26" s="83">
        <f t="shared" si="8"/>
        <v>0.059</v>
      </c>
      <c r="L26" s="82">
        <f t="shared" si="9"/>
        <v>67487295</v>
      </c>
      <c r="M26" s="84">
        <f t="shared" si="10"/>
        <v>0.083</v>
      </c>
      <c r="N26" s="82"/>
      <c r="O26" s="82">
        <v>1000538884</v>
      </c>
      <c r="P26" s="82">
        <f>+'Table 7 Local Revenue'!AG75</f>
        <v>1049414065</v>
      </c>
      <c r="Q26" s="82">
        <f t="shared" si="11"/>
        <v>48875181</v>
      </c>
      <c r="R26" s="302">
        <f t="shared" si="12"/>
        <v>0.0488</v>
      </c>
      <c r="S26" s="88"/>
    </row>
    <row r="27" spans="1:19" ht="18.75" customHeight="1" thickBot="1">
      <c r="A27" s="264"/>
      <c r="B27" s="265" t="s">
        <v>294</v>
      </c>
      <c r="C27" s="266" t="s">
        <v>295</v>
      </c>
      <c r="D27" s="267">
        <v>38973981</v>
      </c>
      <c r="E27" s="267">
        <v>40892674</v>
      </c>
      <c r="F27" s="268"/>
      <c r="G27" s="267"/>
      <c r="H27" s="267"/>
      <c r="I27" s="267">
        <v>38738591</v>
      </c>
      <c r="J27" s="267">
        <f t="shared" si="7"/>
        <v>1918693</v>
      </c>
      <c r="K27" s="269">
        <f t="shared" si="8"/>
        <v>0.049</v>
      </c>
      <c r="L27" s="267">
        <f t="shared" si="9"/>
        <v>-2154083</v>
      </c>
      <c r="M27" s="270">
        <f t="shared" si="10"/>
        <v>-0.053</v>
      </c>
      <c r="N27" s="268"/>
      <c r="O27" s="267">
        <v>37374667.5</v>
      </c>
      <c r="P27" s="267">
        <f>'Table 7 Local Revenue'!AK75</f>
        <v>37911746</v>
      </c>
      <c r="Q27" s="267">
        <f t="shared" si="11"/>
        <v>537078.5</v>
      </c>
      <c r="R27" s="305">
        <f t="shared" si="12"/>
        <v>0.0144</v>
      </c>
      <c r="S27" s="284"/>
    </row>
    <row r="28" spans="1:19" ht="30" customHeight="1">
      <c r="A28" s="86" t="s">
        <v>255</v>
      </c>
      <c r="B28" s="103" t="s">
        <v>246</v>
      </c>
      <c r="C28" s="81"/>
      <c r="D28" s="85">
        <v>291591581</v>
      </c>
      <c r="E28" s="85">
        <v>347996961</v>
      </c>
      <c r="F28" s="82">
        <v>394795849</v>
      </c>
      <c r="G28" s="82">
        <v>323405939</v>
      </c>
      <c r="H28" s="82">
        <v>422891550</v>
      </c>
      <c r="I28" s="82">
        <v>453338095</v>
      </c>
      <c r="J28" s="82">
        <f t="shared" si="7"/>
        <v>56405380</v>
      </c>
      <c r="K28" s="83">
        <f t="shared" si="8"/>
        <v>0.193</v>
      </c>
      <c r="L28" s="85">
        <f t="shared" si="9"/>
        <v>105341134</v>
      </c>
      <c r="M28" s="84">
        <f t="shared" si="10"/>
        <v>0.303</v>
      </c>
      <c r="N28" s="85">
        <f>I28-F28</f>
        <v>58542246</v>
      </c>
      <c r="O28" s="82">
        <v>598062738.9851298</v>
      </c>
      <c r="P28" s="82">
        <f>'Table 3 Levels 1&amp;2'!AI76</f>
        <v>652331793.5</v>
      </c>
      <c r="Q28" s="82">
        <f t="shared" si="11"/>
        <v>54269054.51487017</v>
      </c>
      <c r="R28" s="302">
        <f t="shared" si="12"/>
        <v>0.0907</v>
      </c>
      <c r="S28" s="95"/>
    </row>
    <row r="29" spans="1:19" ht="18.75" customHeight="1">
      <c r="A29" s="80"/>
      <c r="B29" s="529" t="s">
        <v>231</v>
      </c>
      <c r="C29" s="537" t="s">
        <v>296</v>
      </c>
      <c r="D29" s="531">
        <v>112286230</v>
      </c>
      <c r="E29" s="531">
        <v>139730995</v>
      </c>
      <c r="F29" s="531">
        <v>155816718</v>
      </c>
      <c r="G29" s="531">
        <v>131567149</v>
      </c>
      <c r="H29" s="531">
        <v>171377699</v>
      </c>
      <c r="I29" s="531">
        <v>179930743</v>
      </c>
      <c r="J29" s="531">
        <f t="shared" si="7"/>
        <v>27444765</v>
      </c>
      <c r="K29" s="532">
        <f t="shared" si="8"/>
        <v>0.244</v>
      </c>
      <c r="L29" s="531">
        <f t="shared" si="9"/>
        <v>40199748</v>
      </c>
      <c r="M29" s="533">
        <f t="shared" si="10"/>
        <v>0.288</v>
      </c>
      <c r="N29" s="534">
        <f>I29-F29</f>
        <v>24114025</v>
      </c>
      <c r="O29" s="531">
        <v>216499626.7742895</v>
      </c>
      <c r="P29" s="531">
        <f>'Table 3 Levels 1&amp;2'!AJ76</f>
        <v>239307812</v>
      </c>
      <c r="Q29" s="531">
        <f t="shared" si="11"/>
        <v>22808185.22571051</v>
      </c>
      <c r="R29" s="536">
        <f t="shared" si="12"/>
        <v>0.1053</v>
      </c>
      <c r="S29" s="95"/>
    </row>
    <row r="30" spans="1:19" ht="18.75" customHeight="1" thickBot="1">
      <c r="A30" s="264"/>
      <c r="B30" s="265" t="s">
        <v>233</v>
      </c>
      <c r="C30" s="477" t="s">
        <v>297</v>
      </c>
      <c r="D30" s="478">
        <v>275553847</v>
      </c>
      <c r="E30" s="478">
        <v>264424095</v>
      </c>
      <c r="F30" s="478"/>
      <c r="G30" s="478"/>
      <c r="H30" s="478"/>
      <c r="I30" s="478">
        <v>231790727</v>
      </c>
      <c r="J30" s="478">
        <f t="shared" si="7"/>
        <v>-11129752</v>
      </c>
      <c r="K30" s="479">
        <f t="shared" si="8"/>
        <v>-0.04</v>
      </c>
      <c r="L30" s="478">
        <f t="shared" si="9"/>
        <v>-32633368</v>
      </c>
      <c r="M30" s="480">
        <f t="shared" si="10"/>
        <v>-0.123</v>
      </c>
      <c r="N30" s="481"/>
      <c r="O30" s="267">
        <v>193072165.93571264</v>
      </c>
      <c r="P30" s="267">
        <f>'Table 3 Levels 1&amp;2'!AL76</f>
        <v>175359940</v>
      </c>
      <c r="Q30" s="484">
        <f t="shared" si="11"/>
        <v>-17712225.935712636</v>
      </c>
      <c r="R30" s="305">
        <f t="shared" si="12"/>
        <v>-0.0917</v>
      </c>
      <c r="S30" s="282"/>
    </row>
    <row r="31" spans="1:21" ht="31.5" customHeight="1" thickBot="1">
      <c r="A31" s="648" t="s">
        <v>585</v>
      </c>
      <c r="B31" s="538" t="s">
        <v>570</v>
      </c>
      <c r="C31" s="539"/>
      <c r="D31" s="540" t="e">
        <f>D18+D29+#REF!+#REF!</f>
        <v>#REF!</v>
      </c>
      <c r="E31" s="540" t="e">
        <f>E18+E29+#REF!+#REF!</f>
        <v>#REF!</v>
      </c>
      <c r="F31" s="540" t="e">
        <f>F18+F29+#REF!+#REF!</f>
        <v>#REF!</v>
      </c>
      <c r="G31" s="540" t="e">
        <f>G18+G29+#REF!+#REF!</f>
        <v>#REF!</v>
      </c>
      <c r="H31" s="540" t="e">
        <f>H18+H29+#REF!+#REF!</f>
        <v>#REF!</v>
      </c>
      <c r="I31" s="540" t="e">
        <f>I18+I29+#REF!+#REF!</f>
        <v>#REF!</v>
      </c>
      <c r="J31" s="540" t="e">
        <f>E31-D31</f>
        <v>#REF!</v>
      </c>
      <c r="K31" s="541" t="e">
        <f>ROUND((E31/D31)-1,3)</f>
        <v>#REF!</v>
      </c>
      <c r="L31" s="540" t="e">
        <f>I31-E31</f>
        <v>#REF!</v>
      </c>
      <c r="M31" s="542" t="e">
        <f>ROUND((I31/E31)-1,3)</f>
        <v>#REF!</v>
      </c>
      <c r="N31" s="543" t="e">
        <f>N18+N29+#REF!+#REF!</f>
        <v>#REF!</v>
      </c>
      <c r="O31" s="540">
        <f>O18+O29</f>
        <v>2196762544.828328</v>
      </c>
      <c r="P31" s="540">
        <f>P18+P29</f>
        <v>2249487756</v>
      </c>
      <c r="Q31" s="540">
        <f aca="true" t="shared" si="13" ref="Q31:Q36">P31-O31</f>
        <v>52725211.17167187</v>
      </c>
      <c r="R31" s="544">
        <f aca="true" t="shared" si="14" ref="R31:R36">ROUND((P31/O31)-1,4)</f>
        <v>0.024</v>
      </c>
      <c r="S31" s="283"/>
      <c r="U31" s="316"/>
    </row>
    <row r="32" spans="1:21" ht="41.25" customHeight="1">
      <c r="A32" s="805" t="s">
        <v>256</v>
      </c>
      <c r="B32" s="828" t="s">
        <v>558</v>
      </c>
      <c r="C32" s="829"/>
      <c r="D32" s="545"/>
      <c r="E32" s="545"/>
      <c r="F32" s="545"/>
      <c r="G32" s="545"/>
      <c r="H32" s="545"/>
      <c r="I32" s="545"/>
      <c r="J32" s="545"/>
      <c r="K32" s="546"/>
      <c r="L32" s="545"/>
      <c r="M32" s="547"/>
      <c r="N32" s="548"/>
      <c r="O32" s="549">
        <f>O33+O36</f>
        <v>87856358.52379997</v>
      </c>
      <c r="P32" s="549">
        <f>SUM(P33:P36)</f>
        <v>140551715</v>
      </c>
      <c r="Q32" s="549">
        <f t="shared" si="13"/>
        <v>52695356.47620003</v>
      </c>
      <c r="R32" s="550">
        <f t="shared" si="14"/>
        <v>0.5998</v>
      </c>
      <c r="S32" s="311"/>
      <c r="T32" s="316">
        <f>'Table 4 Level 3'!AE73</f>
        <v>140551715</v>
      </c>
      <c r="U32" s="316"/>
    </row>
    <row r="33" spans="1:20" ht="18" customHeight="1">
      <c r="A33" s="482"/>
      <c r="B33" s="558" t="s">
        <v>231</v>
      </c>
      <c r="C33" s="483" t="s">
        <v>495</v>
      </c>
      <c r="D33" s="553"/>
      <c r="E33" s="553"/>
      <c r="F33" s="553"/>
      <c r="G33" s="553"/>
      <c r="H33" s="553"/>
      <c r="I33" s="553"/>
      <c r="J33" s="553"/>
      <c r="K33" s="554"/>
      <c r="L33" s="553"/>
      <c r="M33" s="555"/>
      <c r="N33" s="556"/>
      <c r="O33" s="485"/>
      <c r="P33" s="485">
        <f>'Table 4 Level 3'!S73</f>
        <v>62042112</v>
      </c>
      <c r="Q33" s="485">
        <f t="shared" si="13"/>
        <v>62042112</v>
      </c>
      <c r="R33" s="314" t="e">
        <f t="shared" si="14"/>
        <v>#DIV/0!</v>
      </c>
      <c r="S33" s="102"/>
      <c r="T33" s="431">
        <f>+T32-148532180</f>
        <v>-7980465</v>
      </c>
    </row>
    <row r="34" spans="1:19" ht="18" customHeight="1">
      <c r="A34" s="482"/>
      <c r="B34" s="558" t="s">
        <v>233</v>
      </c>
      <c r="C34" s="483" t="s">
        <v>557</v>
      </c>
      <c r="D34" s="553"/>
      <c r="E34" s="553"/>
      <c r="F34" s="553"/>
      <c r="G34" s="553"/>
      <c r="H34" s="553"/>
      <c r="I34" s="553"/>
      <c r="J34" s="553"/>
      <c r="K34" s="554"/>
      <c r="L34" s="553"/>
      <c r="M34" s="555"/>
      <c r="N34" s="556"/>
      <c r="O34" s="485"/>
      <c r="P34" s="485">
        <f>'Table 4 Level 3'!W73</f>
        <v>-11245602</v>
      </c>
      <c r="Q34" s="485">
        <f t="shared" si="13"/>
        <v>-11245602</v>
      </c>
      <c r="R34" s="314" t="e">
        <f t="shared" si="14"/>
        <v>#DIV/0!</v>
      </c>
      <c r="S34" s="102"/>
    </row>
    <row r="35" spans="1:19" ht="18" customHeight="1">
      <c r="A35" s="482"/>
      <c r="B35" s="558" t="s">
        <v>235</v>
      </c>
      <c r="C35" s="483" t="s">
        <v>551</v>
      </c>
      <c r="D35" s="553"/>
      <c r="E35" s="553"/>
      <c r="F35" s="553"/>
      <c r="G35" s="553"/>
      <c r="H35" s="553"/>
      <c r="I35" s="553"/>
      <c r="J35" s="553"/>
      <c r="K35" s="554"/>
      <c r="L35" s="553"/>
      <c r="M35" s="555"/>
      <c r="N35" s="556"/>
      <c r="O35" s="485"/>
      <c r="P35" s="485">
        <f>'Table 4 Level 3'!AA73</f>
        <v>4244400</v>
      </c>
      <c r="Q35" s="485">
        <f t="shared" si="13"/>
        <v>4244400</v>
      </c>
      <c r="R35" s="314" t="e">
        <f t="shared" si="14"/>
        <v>#DIV/0!</v>
      </c>
      <c r="S35" s="102"/>
    </row>
    <row r="36" spans="1:20" ht="18.75" customHeight="1" thickBot="1">
      <c r="A36" s="482"/>
      <c r="B36" s="558" t="s">
        <v>237</v>
      </c>
      <c r="C36" s="483" t="s">
        <v>496</v>
      </c>
      <c r="D36" s="553"/>
      <c r="E36" s="553"/>
      <c r="F36" s="553"/>
      <c r="G36" s="553"/>
      <c r="H36" s="553"/>
      <c r="I36" s="553"/>
      <c r="J36" s="553"/>
      <c r="K36" s="554"/>
      <c r="L36" s="553"/>
      <c r="M36" s="555"/>
      <c r="N36" s="556"/>
      <c r="O36" s="260">
        <v>87856358.52379997</v>
      </c>
      <c r="P36" s="553">
        <f>'Table 4 Level 3'!AD73</f>
        <v>85510805</v>
      </c>
      <c r="Q36" s="557">
        <f t="shared" si="13"/>
        <v>-2345553.5237999707</v>
      </c>
      <c r="R36" s="315">
        <f t="shared" si="14"/>
        <v>-0.0267</v>
      </c>
      <c r="S36" s="312"/>
      <c r="T36" s="431">
        <f>+P36-85580098</f>
        <v>-69293</v>
      </c>
    </row>
    <row r="37" spans="1:21" ht="28.5" customHeight="1" thickTop="1">
      <c r="A37" s="639" t="s">
        <v>257</v>
      </c>
      <c r="B37" s="561" t="s">
        <v>247</v>
      </c>
      <c r="C37" s="562"/>
      <c r="D37" s="563"/>
      <c r="E37" s="563"/>
      <c r="F37" s="563"/>
      <c r="G37" s="563"/>
      <c r="H37" s="563"/>
      <c r="I37" s="563"/>
      <c r="J37" s="563"/>
      <c r="K37" s="564"/>
      <c r="L37" s="563"/>
      <c r="M37" s="565"/>
      <c r="N37" s="566"/>
      <c r="O37" s="563"/>
      <c r="P37" s="563"/>
      <c r="Q37" s="567"/>
      <c r="R37" s="568"/>
      <c r="S37" s="298"/>
      <c r="U37" s="317"/>
    </row>
    <row r="38" spans="1:21" ht="15.75">
      <c r="A38" s="649"/>
      <c r="B38" s="650" t="s">
        <v>473</v>
      </c>
      <c r="C38" s="651"/>
      <c r="D38" s="652" t="e">
        <f aca="true" t="shared" si="15" ref="D38:I38">SUM(D31:D31)</f>
        <v>#REF!</v>
      </c>
      <c r="E38" s="652" t="e">
        <f t="shared" si="15"/>
        <v>#REF!</v>
      </c>
      <c r="F38" s="652" t="e">
        <f t="shared" si="15"/>
        <v>#REF!</v>
      </c>
      <c r="G38" s="652" t="e">
        <f t="shared" si="15"/>
        <v>#REF!</v>
      </c>
      <c r="H38" s="652" t="e">
        <f t="shared" si="15"/>
        <v>#REF!</v>
      </c>
      <c r="I38" s="652" t="e">
        <f t="shared" si="15"/>
        <v>#REF!</v>
      </c>
      <c r="J38" s="652" t="e">
        <f>E38-D38</f>
        <v>#REF!</v>
      </c>
      <c r="K38" s="653" t="e">
        <f>ROUND((E38/D38)-1,3)</f>
        <v>#REF!</v>
      </c>
      <c r="L38" s="652" t="e">
        <f>I38-E38</f>
        <v>#REF!</v>
      </c>
      <c r="M38" s="654" t="e">
        <f>ROUND((I38/E38)-1,3)</f>
        <v>#REF!</v>
      </c>
      <c r="N38" s="655" t="e">
        <f>SUM(N31:N31)</f>
        <v>#REF!</v>
      </c>
      <c r="O38" s="652">
        <f>SUM(O31:O32)</f>
        <v>2284618903.352128</v>
      </c>
      <c r="P38" s="652">
        <f>SUM(P31:P32)</f>
        <v>2390039471</v>
      </c>
      <c r="Q38" s="652">
        <f aca="true" t="shared" si="16" ref="Q38:Q49">P38-O38</f>
        <v>105420567.64787197</v>
      </c>
      <c r="R38" s="658">
        <f aca="true" t="shared" si="17" ref="R38:R43">ROUND((P38/O38)-1,4)</f>
        <v>0.0461</v>
      </c>
      <c r="S38" s="656"/>
      <c r="U38" s="330"/>
    </row>
    <row r="39" spans="1:21" ht="16.5" thickBot="1">
      <c r="A39" s="640"/>
      <c r="B39" s="569"/>
      <c r="C39" s="570" t="s">
        <v>714</v>
      </c>
      <c r="D39" s="571"/>
      <c r="E39" s="571"/>
      <c r="F39" s="571"/>
      <c r="G39" s="571"/>
      <c r="H39" s="571"/>
      <c r="I39" s="571"/>
      <c r="J39" s="571"/>
      <c r="K39" s="572"/>
      <c r="L39" s="571"/>
      <c r="M39" s="573"/>
      <c r="N39" s="574"/>
      <c r="O39" s="571">
        <f>'[1]Table 4 Formula'!$BB$75</f>
        <v>3141.43</v>
      </c>
      <c r="P39" s="571">
        <f>'Table 3 Levels 1&amp;2'!AT76</f>
        <v>3347.3</v>
      </c>
      <c r="Q39" s="571">
        <f t="shared" si="16"/>
        <v>205.87000000000035</v>
      </c>
      <c r="R39" s="657">
        <f t="shared" si="17"/>
        <v>0.0655</v>
      </c>
      <c r="S39" s="299"/>
      <c r="U39" s="330"/>
    </row>
    <row r="40" spans="1:21" ht="27" customHeight="1">
      <c r="A40" s="803" t="s">
        <v>258</v>
      </c>
      <c r="B40" s="804" t="s">
        <v>729</v>
      </c>
      <c r="C40" s="530"/>
      <c r="D40" s="551">
        <f aca="true" t="shared" si="18" ref="D40:N40">D42+D41</f>
        <v>0</v>
      </c>
      <c r="E40" s="551">
        <f t="shared" si="18"/>
        <v>536205</v>
      </c>
      <c r="F40" s="551">
        <f t="shared" si="18"/>
        <v>0</v>
      </c>
      <c r="G40" s="551">
        <f t="shared" si="18"/>
        <v>0</v>
      </c>
      <c r="H40" s="551">
        <f t="shared" si="18"/>
        <v>0</v>
      </c>
      <c r="I40" s="551">
        <f t="shared" si="18"/>
        <v>0</v>
      </c>
      <c r="J40" s="551">
        <f t="shared" si="18"/>
        <v>536205</v>
      </c>
      <c r="K40" s="551" t="e">
        <f t="shared" si="18"/>
        <v>#DIV/0!</v>
      </c>
      <c r="L40" s="551">
        <f t="shared" si="18"/>
        <v>-536205</v>
      </c>
      <c r="M40" s="551">
        <f t="shared" si="18"/>
        <v>-2</v>
      </c>
      <c r="N40" s="551">
        <f t="shared" si="18"/>
        <v>0</v>
      </c>
      <c r="O40" s="531">
        <v>4092637.0093423747</v>
      </c>
      <c r="P40" s="531">
        <f>P42+P41</f>
        <v>4307975.100000001</v>
      </c>
      <c r="Q40" s="531">
        <f t="shared" si="16"/>
        <v>215338.0906576258</v>
      </c>
      <c r="R40" s="536">
        <f t="shared" si="17"/>
        <v>0.0526</v>
      </c>
      <c r="S40" s="108"/>
      <c r="T40" s="431">
        <f>+P40-4399612</f>
        <v>-91636.89999999944</v>
      </c>
      <c r="U40" s="330"/>
    </row>
    <row r="41" spans="1:19" ht="15.75">
      <c r="A41" s="110"/>
      <c r="B41" s="559" t="s">
        <v>231</v>
      </c>
      <c r="C41" s="81" t="s">
        <v>309</v>
      </c>
      <c r="D41" s="82">
        <v>0</v>
      </c>
      <c r="E41" s="82">
        <v>302531</v>
      </c>
      <c r="F41" s="82">
        <v>0</v>
      </c>
      <c r="G41" s="82">
        <v>0</v>
      </c>
      <c r="H41" s="82"/>
      <c r="I41" s="82">
        <v>0</v>
      </c>
      <c r="J41" s="82">
        <f>E41-D41</f>
        <v>302531</v>
      </c>
      <c r="K41" s="83" t="e">
        <f>ROUND((E41/D41)-1,3)</f>
        <v>#DIV/0!</v>
      </c>
      <c r="L41" s="82">
        <f>I41-E41</f>
        <v>-302531</v>
      </c>
      <c r="M41" s="84">
        <f>ROUND((I41/E41)-1,3)</f>
        <v>-1</v>
      </c>
      <c r="N41" s="85">
        <f>I41-F41</f>
        <v>0</v>
      </c>
      <c r="O41" s="82">
        <v>2543903.5513997437</v>
      </c>
      <c r="P41" s="82">
        <f>'Table 5 Lab Schools_Revised'!D9</f>
        <v>2714660.3000000003</v>
      </c>
      <c r="Q41" s="82">
        <f t="shared" si="16"/>
        <v>170756.74860025663</v>
      </c>
      <c r="R41" s="302">
        <f t="shared" si="17"/>
        <v>0.0671</v>
      </c>
      <c r="S41" s="95"/>
    </row>
    <row r="42" spans="1:19" ht="16.5" thickBot="1">
      <c r="A42" s="277"/>
      <c r="B42" s="560" t="s">
        <v>233</v>
      </c>
      <c r="C42" s="259" t="s">
        <v>310</v>
      </c>
      <c r="D42" s="260">
        <v>0</v>
      </c>
      <c r="E42" s="260">
        <v>233674</v>
      </c>
      <c r="F42" s="260">
        <v>0</v>
      </c>
      <c r="G42" s="260">
        <v>0</v>
      </c>
      <c r="H42" s="260"/>
      <c r="I42" s="260">
        <v>0</v>
      </c>
      <c r="J42" s="260">
        <f>E42-D42</f>
        <v>233674</v>
      </c>
      <c r="K42" s="261" t="e">
        <f>ROUND((E42/D42)-1,3)</f>
        <v>#DIV/0!</v>
      </c>
      <c r="L42" s="260">
        <f>I42-E42</f>
        <v>-233674</v>
      </c>
      <c r="M42" s="262">
        <f>ROUND((I42/E42)-1,3)</f>
        <v>-1</v>
      </c>
      <c r="N42" s="263">
        <f>I42-F42</f>
        <v>0</v>
      </c>
      <c r="O42" s="260">
        <v>1548733.457942631</v>
      </c>
      <c r="P42" s="260">
        <f>'Table 5 Lab Schools_Revised'!D11</f>
        <v>1593314.8</v>
      </c>
      <c r="Q42" s="260">
        <f t="shared" si="16"/>
        <v>44581.34205736895</v>
      </c>
      <c r="R42" s="304">
        <f t="shared" si="17"/>
        <v>0.0288</v>
      </c>
      <c r="S42" s="284"/>
    </row>
    <row r="43" spans="1:21" ht="36" customHeight="1" thickBot="1">
      <c r="A43" s="641" t="s">
        <v>259</v>
      </c>
      <c r="B43" s="642" t="s">
        <v>586</v>
      </c>
      <c r="C43" s="578"/>
      <c r="D43" s="575" t="e">
        <f aca="true" t="shared" si="19" ref="D43:N43">D38+D40</f>
        <v>#REF!</v>
      </c>
      <c r="E43" s="575" t="e">
        <f t="shared" si="19"/>
        <v>#REF!</v>
      </c>
      <c r="F43" s="575" t="e">
        <f t="shared" si="19"/>
        <v>#REF!</v>
      </c>
      <c r="G43" s="575" t="e">
        <f t="shared" si="19"/>
        <v>#REF!</v>
      </c>
      <c r="H43" s="575" t="e">
        <f t="shared" si="19"/>
        <v>#REF!</v>
      </c>
      <c r="I43" s="575" t="e">
        <f t="shared" si="19"/>
        <v>#REF!</v>
      </c>
      <c r="J43" s="575" t="e">
        <f t="shared" si="19"/>
        <v>#REF!</v>
      </c>
      <c r="K43" s="575" t="e">
        <f t="shared" si="19"/>
        <v>#REF!</v>
      </c>
      <c r="L43" s="575" t="e">
        <f t="shared" si="19"/>
        <v>#REF!</v>
      </c>
      <c r="M43" s="575" t="e">
        <f t="shared" si="19"/>
        <v>#REF!</v>
      </c>
      <c r="N43" s="575" t="e">
        <f t="shared" si="19"/>
        <v>#REF!</v>
      </c>
      <c r="O43" s="575">
        <f>O38+O40</f>
        <v>2288711540.36147</v>
      </c>
      <c r="P43" s="575">
        <f>P38+P40</f>
        <v>2394347446.1</v>
      </c>
      <c r="Q43" s="575">
        <f t="shared" si="16"/>
        <v>105635905.73852968</v>
      </c>
      <c r="R43" s="576">
        <f t="shared" si="17"/>
        <v>0.0462</v>
      </c>
      <c r="S43" s="297"/>
      <c r="U43" s="326"/>
    </row>
    <row r="44" spans="1:19" ht="28.5" customHeight="1">
      <c r="A44" s="647" t="s">
        <v>260</v>
      </c>
      <c r="B44" s="552" t="s">
        <v>692</v>
      </c>
      <c r="C44" s="530"/>
      <c r="D44" s="531"/>
      <c r="E44" s="531"/>
      <c r="F44" s="531"/>
      <c r="G44" s="531"/>
      <c r="H44" s="531"/>
      <c r="I44" s="531"/>
      <c r="J44" s="531"/>
      <c r="K44" s="532"/>
      <c r="L44" s="531"/>
      <c r="M44" s="533"/>
      <c r="N44" s="534"/>
      <c r="O44" s="531">
        <f>+O45+O46</f>
        <v>-8724940.50459998</v>
      </c>
      <c r="P44" s="531">
        <f>+P45+P46</f>
        <v>-6373191</v>
      </c>
      <c r="Q44" s="531">
        <f t="shared" si="16"/>
        <v>2351749.504599979</v>
      </c>
      <c r="R44" s="535"/>
      <c r="S44" s="95"/>
    </row>
    <row r="45" spans="1:21" ht="15.75">
      <c r="A45" s="109"/>
      <c r="B45" s="105" t="s">
        <v>231</v>
      </c>
      <c r="C45" s="81" t="s">
        <v>248</v>
      </c>
      <c r="D45" s="82">
        <v>-1240429</v>
      </c>
      <c r="E45" s="82">
        <v>-2961111</v>
      </c>
      <c r="F45" s="82">
        <v>-2496342</v>
      </c>
      <c r="G45" s="82">
        <v>0</v>
      </c>
      <c r="H45" s="82"/>
      <c r="I45" s="82">
        <v>-3411397</v>
      </c>
      <c r="J45" s="82">
        <f>E45-D45</f>
        <v>-1720682</v>
      </c>
      <c r="K45" s="83">
        <f>ROUND((E45/D45)-1,3)</f>
        <v>1.387</v>
      </c>
      <c r="L45" s="82">
        <f>I45-E45</f>
        <v>-450286</v>
      </c>
      <c r="M45" s="84">
        <f>ROUND((I45/E45)-1,3)</f>
        <v>0.152</v>
      </c>
      <c r="N45" s="85">
        <f>I45-F45</f>
        <v>-915055</v>
      </c>
      <c r="O45" s="82">
        <v>14198880.49540001</v>
      </c>
      <c r="P45" s="82">
        <f>+'Table 2 Distribution &amp; Adjusts'!E75+'Table 5 Lab Schools_Revised'!F14</f>
        <v>-6373191</v>
      </c>
      <c r="Q45" s="82">
        <f>P45-O45</f>
        <v>-20572071.49540001</v>
      </c>
      <c r="R45" s="302">
        <f>ROUND((P45/O45)-1,4)</f>
        <v>-1.4489</v>
      </c>
      <c r="S45" s="88"/>
      <c r="U45" s="330"/>
    </row>
    <row r="46" spans="1:21" ht="16.5" thickBot="1">
      <c r="A46" s="264"/>
      <c r="B46" s="265" t="s">
        <v>233</v>
      </c>
      <c r="C46" s="266" t="s">
        <v>298</v>
      </c>
      <c r="D46" s="267"/>
      <c r="E46" s="267"/>
      <c r="F46" s="267"/>
      <c r="G46" s="267"/>
      <c r="H46" s="267"/>
      <c r="I46" s="267"/>
      <c r="J46" s="267"/>
      <c r="K46" s="269"/>
      <c r="L46" s="267"/>
      <c r="M46" s="270"/>
      <c r="N46" s="278"/>
      <c r="O46" s="267">
        <v>-22923820.99999999</v>
      </c>
      <c r="P46" s="267">
        <v>0</v>
      </c>
      <c r="Q46" s="267">
        <f t="shared" si="16"/>
        <v>22923820.99999999</v>
      </c>
      <c r="R46" s="305">
        <f>ROUND((P46/O46)-1,4)</f>
        <v>-1</v>
      </c>
      <c r="S46" s="284"/>
      <c r="U46" s="316"/>
    </row>
    <row r="47" spans="1:21" ht="30" customHeight="1">
      <c r="A47" s="643" t="s">
        <v>261</v>
      </c>
      <c r="B47" s="644" t="s">
        <v>587</v>
      </c>
      <c r="C47" s="645"/>
      <c r="D47" s="154" t="e">
        <f aca="true" t="shared" si="20" ref="D47:I47">D43+D45</f>
        <v>#REF!</v>
      </c>
      <c r="E47" s="154" t="e">
        <f t="shared" si="20"/>
        <v>#REF!</v>
      </c>
      <c r="F47" s="154" t="e">
        <f t="shared" si="20"/>
        <v>#REF!</v>
      </c>
      <c r="G47" s="154" t="e">
        <f t="shared" si="20"/>
        <v>#REF!</v>
      </c>
      <c r="H47" s="154" t="e">
        <f t="shared" si="20"/>
        <v>#REF!</v>
      </c>
      <c r="I47" s="154" t="e">
        <f t="shared" si="20"/>
        <v>#REF!</v>
      </c>
      <c r="J47" s="154" t="e">
        <f>E47-D47</f>
        <v>#REF!</v>
      </c>
      <c r="K47" s="155" t="e">
        <f>ROUND((E47/D47)-1,3)</f>
        <v>#REF!</v>
      </c>
      <c r="L47" s="154" t="e">
        <f>I47-E47</f>
        <v>#REF!</v>
      </c>
      <c r="M47" s="156" t="e">
        <f>ROUND((I47/E47)-1,3)</f>
        <v>#REF!</v>
      </c>
      <c r="N47" s="157" t="e">
        <f>N43+N45</f>
        <v>#REF!</v>
      </c>
      <c r="O47" s="663">
        <f>O43+O45+O46</f>
        <v>2279986599.85687</v>
      </c>
      <c r="P47" s="663">
        <f>P43+P45+P46</f>
        <v>2387974255.1</v>
      </c>
      <c r="Q47" s="663">
        <f t="shared" si="16"/>
        <v>107987655.24312973</v>
      </c>
      <c r="R47" s="664">
        <f>ROUND((P47/O47)-1,4)</f>
        <v>0.0474</v>
      </c>
      <c r="S47" s="665"/>
      <c r="U47" s="316"/>
    </row>
    <row r="48" spans="1:21" ht="16.5" thickBot="1">
      <c r="A48" s="271"/>
      <c r="B48" s="272" t="s">
        <v>231</v>
      </c>
      <c r="C48" s="279" t="s">
        <v>299</v>
      </c>
      <c r="D48" s="273"/>
      <c r="E48" s="273" t="e">
        <f>E47-D47</f>
        <v>#REF!</v>
      </c>
      <c r="F48" s="273"/>
      <c r="G48" s="273"/>
      <c r="H48" s="273"/>
      <c r="I48" s="273" t="e">
        <f>I47-E47</f>
        <v>#REF!</v>
      </c>
      <c r="J48" s="273"/>
      <c r="K48" s="274"/>
      <c r="L48" s="273"/>
      <c r="M48" s="275"/>
      <c r="N48" s="276"/>
      <c r="O48" s="273">
        <v>61735009</v>
      </c>
      <c r="P48" s="273">
        <f>P47-O47</f>
        <v>107987655.24312973</v>
      </c>
      <c r="Q48" s="273">
        <f t="shared" si="16"/>
        <v>46252646.24312973</v>
      </c>
      <c r="R48" s="305">
        <f>ROUND((P48/O48)-1,4)</f>
        <v>0.7492</v>
      </c>
      <c r="S48" s="282"/>
      <c r="U48" s="316"/>
    </row>
    <row r="49" spans="1:21" ht="33" customHeight="1" thickBot="1">
      <c r="A49" s="641" t="s">
        <v>262</v>
      </c>
      <c r="B49" s="577" t="s">
        <v>249</v>
      </c>
      <c r="C49" s="578"/>
      <c r="D49" s="579">
        <v>1974506903</v>
      </c>
      <c r="E49" s="579">
        <v>2099675563</v>
      </c>
      <c r="F49" s="579">
        <v>2192578998</v>
      </c>
      <c r="G49" s="579">
        <v>2192578998</v>
      </c>
      <c r="H49" s="579">
        <v>2192578998</v>
      </c>
      <c r="I49" s="579">
        <v>2192578998</v>
      </c>
      <c r="J49" s="579">
        <f>E49-D49</f>
        <v>125168660</v>
      </c>
      <c r="K49" s="580">
        <f>ROUND((E49/D49)-1,3)</f>
        <v>0.063</v>
      </c>
      <c r="L49" s="579">
        <f>I49-E49</f>
        <v>92903435</v>
      </c>
      <c r="M49" s="581">
        <f>ROUND((I49/E49)-1,3)</f>
        <v>0.044</v>
      </c>
      <c r="N49" s="582">
        <v>2192578998</v>
      </c>
      <c r="O49" s="575">
        <f>2243837611+18938389+17210600</f>
        <v>2279986600</v>
      </c>
      <c r="P49" s="575">
        <f>2243837611+71611499+96800000-1300650-12858610+1685016</f>
        <v>2399774866</v>
      </c>
      <c r="Q49" s="575">
        <f t="shared" si="16"/>
        <v>119788266</v>
      </c>
      <c r="R49" s="583">
        <f>ROUND((P49/O49)-1,4)</f>
        <v>0.0525</v>
      </c>
      <c r="S49" s="296"/>
      <c r="U49" s="316"/>
    </row>
    <row r="50" spans="1:19" ht="31.5" customHeight="1">
      <c r="A50" s="646" t="s">
        <v>263</v>
      </c>
      <c r="B50" s="280" t="s">
        <v>250</v>
      </c>
      <c r="C50" s="281"/>
      <c r="D50" s="159"/>
      <c r="E50" s="159"/>
      <c r="F50" s="159"/>
      <c r="G50" s="160"/>
      <c r="H50" s="160"/>
      <c r="I50" s="159"/>
      <c r="J50" s="160"/>
      <c r="K50" s="161"/>
      <c r="L50" s="160"/>
      <c r="M50" s="162"/>
      <c r="N50" s="158"/>
      <c r="O50" s="160"/>
      <c r="P50" s="160"/>
      <c r="Q50" s="160"/>
      <c r="R50" s="306"/>
      <c r="S50" s="285"/>
    </row>
    <row r="51" spans="1:21" ht="16.5" thickBot="1">
      <c r="A51" s="163"/>
      <c r="B51" s="164" t="s">
        <v>498</v>
      </c>
      <c r="C51" s="165"/>
      <c r="D51" s="166" t="e">
        <f>D49-D47</f>
        <v>#REF!</v>
      </c>
      <c r="E51" s="166" t="e">
        <f>E49-E47</f>
        <v>#REF!</v>
      </c>
      <c r="F51" s="166" t="e">
        <f>F49-F47</f>
        <v>#REF!</v>
      </c>
      <c r="G51" s="166" t="e">
        <f>G49-G47</f>
        <v>#REF!</v>
      </c>
      <c r="H51" s="166" t="e">
        <f>H49-H47</f>
        <v>#REF!</v>
      </c>
      <c r="I51" s="166" t="e">
        <f>+I47-I49</f>
        <v>#REF!</v>
      </c>
      <c r="J51" s="166" t="e">
        <f>E51-D51</f>
        <v>#REF!</v>
      </c>
      <c r="K51" s="167" t="e">
        <f>ROUND((E51/D51)-1,3)</f>
        <v>#REF!</v>
      </c>
      <c r="L51" s="166" t="e">
        <f>I51-E51</f>
        <v>#REF!</v>
      </c>
      <c r="M51" s="168" t="e">
        <f>ROUND((I51/E51)-1,3)</f>
        <v>#REF!</v>
      </c>
      <c r="N51" s="169" t="e">
        <f>I51-F51</f>
        <v>#REF!</v>
      </c>
      <c r="O51" s="166">
        <f>+O47-O49</f>
        <v>-0.14312982559204102</v>
      </c>
      <c r="P51" s="166">
        <f>+P47-P49</f>
        <v>-11800610.900000095</v>
      </c>
      <c r="Q51" s="166">
        <f>P51-O51</f>
        <v>-11800610.75687027</v>
      </c>
      <c r="R51" s="307">
        <f>ROUND((Q51/P51)-1,4)</f>
        <v>0</v>
      </c>
      <c r="S51" s="111"/>
      <c r="U51" s="316"/>
    </row>
    <row r="52" ht="13.5" thickTop="1"/>
    <row r="53" spans="3:21" ht="12.75">
      <c r="C53" s="316"/>
      <c r="O53" s="316"/>
      <c r="P53" s="319"/>
      <c r="U53" s="316"/>
    </row>
    <row r="54" spans="3:16" ht="12.75">
      <c r="C54" s="316"/>
      <c r="O54" s="228"/>
      <c r="P54" s="316"/>
    </row>
    <row r="55" spans="3:21" ht="12.75">
      <c r="C55" s="316"/>
      <c r="O55" s="432"/>
      <c r="P55" s="330"/>
      <c r="U55" s="319"/>
    </row>
    <row r="56" spans="3:21" ht="15">
      <c r="C56" s="316"/>
      <c r="O56" s="229"/>
      <c r="U56" s="319"/>
    </row>
    <row r="57" spans="15:16" ht="12.75">
      <c r="O57" s="328"/>
      <c r="P57" s="316"/>
    </row>
    <row r="59" spans="15:16" ht="12.75">
      <c r="O59" s="329"/>
      <c r="P59" s="316"/>
    </row>
  </sheetData>
  <mergeCells count="5">
    <mergeCell ref="A1:R1"/>
    <mergeCell ref="P3:P6"/>
    <mergeCell ref="B32:C32"/>
    <mergeCell ref="O3:O6"/>
    <mergeCell ref="A2:R2"/>
  </mergeCells>
  <printOptions/>
  <pageMargins left="0.25" right="0.15" top="1.26" bottom="0.56" header="0.52" footer="0.26"/>
  <pageSetup firstPageNumber="1" useFirstPageNumber="1" horizontalDpi="600" verticalDpi="600" orientation="portrait" paperSize="5" scale="80" r:id="rId1"/>
  <headerFooter alignWithMargins="0">
    <oddHeader>&amp;L&amp;"Arial,Bold"&amp;18 &amp;C&amp;"Arial,Bold"&amp;22 2001-2002 MFP BUDGET LETTER</oddHeader>
    <oddFooter xml:space="preserve">&amp;L&amp;F &amp;A&amp;R&amp;P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4"/>
  <sheetViews>
    <sheetView zoomScale="85" zoomScaleNormal="85" workbookViewId="0" topLeftCell="A1">
      <selection activeCell="B1" sqref="B1:B2"/>
    </sheetView>
  </sheetViews>
  <sheetFormatPr defaultColWidth="12.57421875" defaultRowHeight="12.75"/>
  <cols>
    <col min="1" max="1" width="3.00390625" style="2" customWidth="1"/>
    <col min="2" max="2" width="19.28125" style="2" bestFit="1" customWidth="1"/>
    <col min="3" max="3" width="14.28125" style="2" bestFit="1" customWidth="1"/>
    <col min="4" max="4" width="14.140625" style="2" customWidth="1"/>
    <col min="5" max="5" width="13.28125" style="2" customWidth="1"/>
    <col min="6" max="6" width="15.28125" style="2" customWidth="1"/>
    <col min="7" max="7" width="15.421875" style="2" hidden="1" customWidth="1"/>
    <col min="8" max="8" width="20.57421875" style="2" customWidth="1"/>
    <col min="9" max="9" width="15.28125" style="2" bestFit="1" customWidth="1"/>
    <col min="10" max="10" width="15.140625" style="2" customWidth="1"/>
    <col min="11" max="11" width="19.7109375" style="2" bestFit="1" customWidth="1"/>
    <col min="12" max="12" width="17.140625" style="2" customWidth="1"/>
    <col min="13" max="13" width="15.28125" style="2" hidden="1" customWidth="1"/>
    <col min="14" max="14" width="16.00390625" style="2" hidden="1" customWidth="1"/>
    <col min="15" max="18" width="19.28125" style="2" hidden="1" customWidth="1"/>
    <col min="19" max="19" width="18.8515625" style="2" hidden="1" customWidth="1"/>
    <col min="20" max="20" width="16.8515625" style="2" hidden="1" customWidth="1"/>
    <col min="21" max="21" width="17.140625" style="2" hidden="1" customWidth="1"/>
    <col min="22" max="22" width="20.00390625" style="2" hidden="1" customWidth="1"/>
    <col min="23" max="23" width="16.421875" style="2" hidden="1" customWidth="1"/>
    <col min="24" max="24" width="0.13671875" style="2" hidden="1" customWidth="1"/>
    <col min="25" max="25" width="17.57421875" style="2" hidden="1" customWidth="1"/>
    <col min="26" max="26" width="17.7109375" style="2" hidden="1" customWidth="1"/>
    <col min="27" max="27" width="2.57421875" style="2" hidden="1" customWidth="1"/>
    <col min="28" max="28" width="12.57421875" style="2" hidden="1" customWidth="1"/>
    <col min="29" max="16384" width="12.57421875" style="2" customWidth="1"/>
  </cols>
  <sheetData>
    <row r="1" spans="1:27" s="15" customFormat="1" ht="19.5" customHeight="1">
      <c r="A1" s="14"/>
      <c r="C1" s="834"/>
      <c r="D1" s="835"/>
      <c r="E1" s="835"/>
      <c r="F1" s="835"/>
      <c r="G1" s="320"/>
      <c r="I1" s="834"/>
      <c r="J1" s="835"/>
      <c r="K1" s="835"/>
      <c r="L1" s="129"/>
      <c r="M1" s="129"/>
      <c r="N1" s="129"/>
      <c r="O1" s="129"/>
      <c r="P1" s="129"/>
      <c r="Q1" s="129"/>
      <c r="R1" s="129"/>
      <c r="S1" s="835"/>
      <c r="T1" s="835"/>
      <c r="U1" s="835"/>
      <c r="V1" s="835"/>
      <c r="W1" s="835"/>
      <c r="X1" s="835"/>
      <c r="Y1" s="835"/>
      <c r="Z1" s="835"/>
      <c r="AA1" s="335"/>
    </row>
    <row r="2" spans="1:34" ht="54" customHeight="1">
      <c r="A2" s="11"/>
      <c r="B2" s="11"/>
      <c r="C2" s="734" t="s">
        <v>588</v>
      </c>
      <c r="D2" s="846" t="s">
        <v>696</v>
      </c>
      <c r="E2" s="847"/>
      <c r="F2" s="734" t="s">
        <v>589</v>
      </c>
      <c r="G2" s="446" t="s">
        <v>661</v>
      </c>
      <c r="H2" s="734" t="s">
        <v>662</v>
      </c>
      <c r="I2" s="734" t="s">
        <v>590</v>
      </c>
      <c r="J2" s="734" t="s">
        <v>664</v>
      </c>
      <c r="K2" s="734" t="s">
        <v>655</v>
      </c>
      <c r="L2" s="734" t="s">
        <v>709</v>
      </c>
      <c r="M2" s="447" t="s">
        <v>591</v>
      </c>
      <c r="N2" s="447" t="s">
        <v>592</v>
      </c>
      <c r="O2" s="447"/>
      <c r="P2" s="447"/>
      <c r="Q2" s="447"/>
      <c r="R2" s="447"/>
      <c r="S2" s="448"/>
      <c r="T2" s="447"/>
      <c r="U2" s="447"/>
      <c r="V2" s="114" t="s">
        <v>524</v>
      </c>
      <c r="W2" s="114" t="s">
        <v>525</v>
      </c>
      <c r="X2" s="114" t="s">
        <v>526</v>
      </c>
      <c r="Y2" s="115"/>
      <c r="Z2" s="336" t="s">
        <v>527</v>
      </c>
      <c r="AA2" s="115"/>
      <c r="AB2" s="115"/>
      <c r="AC2" s="115"/>
      <c r="AD2" s="115"/>
      <c r="AE2" s="115"/>
      <c r="AF2" s="115"/>
      <c r="AG2" s="115"/>
      <c r="AH2" s="115"/>
    </row>
    <row r="3" spans="1:27" ht="44.25" customHeight="1">
      <c r="A3" s="386"/>
      <c r="B3" s="387"/>
      <c r="C3" s="838" t="s">
        <v>566</v>
      </c>
      <c r="D3" s="836" t="s">
        <v>482</v>
      </c>
      <c r="E3" s="837"/>
      <c r="F3" s="833" t="s">
        <v>538</v>
      </c>
      <c r="G3" s="327"/>
      <c r="H3" s="831" t="s">
        <v>656</v>
      </c>
      <c r="I3" s="833" t="s">
        <v>534</v>
      </c>
      <c r="J3" s="831" t="s">
        <v>593</v>
      </c>
      <c r="K3" s="831" t="s">
        <v>665</v>
      </c>
      <c r="L3" s="327"/>
      <c r="M3" s="327"/>
      <c r="N3" s="327"/>
      <c r="O3" s="127"/>
      <c r="P3" s="127"/>
      <c r="Q3" s="127"/>
      <c r="R3" s="145"/>
      <c r="S3" s="840"/>
      <c r="T3" s="840"/>
      <c r="U3" s="842"/>
      <c r="V3" s="844" t="s">
        <v>528</v>
      </c>
      <c r="W3" s="848" t="s">
        <v>529</v>
      </c>
      <c r="X3" s="850" t="s">
        <v>530</v>
      </c>
      <c r="Y3" s="850" t="s">
        <v>531</v>
      </c>
      <c r="Z3" s="848" t="s">
        <v>532</v>
      </c>
      <c r="AA3" s="848" t="s">
        <v>533</v>
      </c>
    </row>
    <row r="4" spans="1:27" ht="73.5" customHeight="1">
      <c r="A4" s="388"/>
      <c r="B4" s="389" t="s">
        <v>129</v>
      </c>
      <c r="C4" s="839"/>
      <c r="D4" s="215" t="s">
        <v>311</v>
      </c>
      <c r="E4" s="216" t="s">
        <v>130</v>
      </c>
      <c r="F4" s="832"/>
      <c r="G4" s="659" t="s">
        <v>663</v>
      </c>
      <c r="H4" s="832"/>
      <c r="I4" s="832"/>
      <c r="J4" s="832"/>
      <c r="K4" s="832"/>
      <c r="L4" s="390" t="s">
        <v>535</v>
      </c>
      <c r="M4" s="390" t="s">
        <v>484</v>
      </c>
      <c r="N4" s="390" t="s">
        <v>485</v>
      </c>
      <c r="O4" s="130" t="s">
        <v>303</v>
      </c>
      <c r="P4" s="130" t="s">
        <v>304</v>
      </c>
      <c r="Q4" s="130" t="s">
        <v>305</v>
      </c>
      <c r="R4" s="146" t="s">
        <v>306</v>
      </c>
      <c r="S4" s="841"/>
      <c r="T4" s="841"/>
      <c r="U4" s="843"/>
      <c r="V4" s="845"/>
      <c r="W4" s="849"/>
      <c r="X4" s="849"/>
      <c r="Y4" s="849"/>
      <c r="Z4" s="849"/>
      <c r="AA4" s="849"/>
    </row>
    <row r="5" spans="1:27" ht="14.25" customHeight="1">
      <c r="A5" s="371"/>
      <c r="B5" s="372"/>
      <c r="C5" s="373" t="s">
        <v>131</v>
      </c>
      <c r="D5" s="374" t="s">
        <v>373</v>
      </c>
      <c r="E5" s="374" t="s">
        <v>132</v>
      </c>
      <c r="F5" s="374" t="s">
        <v>133</v>
      </c>
      <c r="G5" s="463" t="s">
        <v>660</v>
      </c>
      <c r="H5" s="375" t="s">
        <v>134</v>
      </c>
      <c r="I5" s="375" t="s">
        <v>135</v>
      </c>
      <c r="J5" s="375" t="s">
        <v>136</v>
      </c>
      <c r="K5" s="375" t="s">
        <v>137</v>
      </c>
      <c r="L5" s="375" t="s">
        <v>138</v>
      </c>
      <c r="M5" s="375" t="s">
        <v>139</v>
      </c>
      <c r="N5" s="375" t="s">
        <v>140</v>
      </c>
      <c r="O5" s="337"/>
      <c r="P5" s="147">
        <f>35808*1.027</f>
        <v>36774.816</v>
      </c>
      <c r="Q5" s="147"/>
      <c r="R5" s="148"/>
      <c r="S5" s="338"/>
      <c r="T5" s="339"/>
      <c r="U5" s="340"/>
      <c r="V5" s="341" t="s">
        <v>137</v>
      </c>
      <c r="W5" s="342" t="s">
        <v>138</v>
      </c>
      <c r="X5" s="342" t="s">
        <v>139</v>
      </c>
      <c r="Y5" s="343" t="s">
        <v>137</v>
      </c>
      <c r="Z5" s="344" t="s">
        <v>138</v>
      </c>
      <c r="AA5" s="345"/>
    </row>
    <row r="6" spans="1:31" ht="12.75">
      <c r="A6" s="660">
        <v>1</v>
      </c>
      <c r="B6" s="660" t="s">
        <v>142</v>
      </c>
      <c r="C6" s="23">
        <f>'Table 3 Levels 1&amp;2'!AR9</f>
        <v>34963948</v>
      </c>
      <c r="D6" s="22">
        <v>47861</v>
      </c>
      <c r="E6" s="204">
        <v>0</v>
      </c>
      <c r="F6" s="22">
        <f>SUM(C6:E6)</f>
        <v>35011809</v>
      </c>
      <c r="G6" s="22">
        <v>2926780</v>
      </c>
      <c r="H6" s="464">
        <f>ROUND(G6*8,0)</f>
        <v>23414240</v>
      </c>
      <c r="I6" s="23">
        <f>+F6-H6</f>
        <v>11597569</v>
      </c>
      <c r="J6" s="23">
        <f>ROUND(I6/4,0)</f>
        <v>2899392</v>
      </c>
      <c r="K6" s="23">
        <f>+'[1]Table 3 Distribution W Adj'!I9</f>
        <v>33587881.33846946</v>
      </c>
      <c r="L6" s="23">
        <f>+F6-K6</f>
        <v>1423927.6615305394</v>
      </c>
      <c r="M6" s="16">
        <f aca="true" t="shared" si="0" ref="M6:M37">IF(L6&gt;0,L6,0)</f>
        <v>1423927.6615305394</v>
      </c>
      <c r="N6" s="16">
        <f aca="true" t="shared" si="1" ref="N6:N37">IF(L6&lt;0,L6,0)</f>
        <v>0</v>
      </c>
      <c r="O6" s="16">
        <v>28868</v>
      </c>
      <c r="P6" s="136">
        <f aca="true" t="shared" si="2" ref="P6:P37">IF(O6&gt;$P$5,0.5,0.75)</f>
        <v>0.75</v>
      </c>
      <c r="Q6" s="132">
        <v>722.388571441174</v>
      </c>
      <c r="R6" s="141">
        <f aca="true" t="shared" si="3" ref="R6:R37">ROUND(M6*P6/1.142/Q6,0)</f>
        <v>1295</v>
      </c>
      <c r="S6" s="346"/>
      <c r="T6" s="346"/>
      <c r="U6" s="347"/>
      <c r="V6" s="348">
        <f aca="true" t="shared" si="4" ref="V6:V37">ROUND(S6/8,0)</f>
        <v>0</v>
      </c>
      <c r="W6" s="16">
        <f aca="true" t="shared" si="5" ref="W6:W37">U6-V6</f>
        <v>0</v>
      </c>
      <c r="X6" s="16" t="e">
        <f>#REF!</f>
        <v>#REF!</v>
      </c>
      <c r="Y6" s="23">
        <v>32993149</v>
      </c>
      <c r="Z6" s="16" t="e">
        <f>#REF!-Y6</f>
        <v>#REF!</v>
      </c>
      <c r="AA6" s="349" t="e">
        <f aca="true" t="shared" si="6" ref="AA6:AA37">Z6/Y6</f>
        <v>#REF!</v>
      </c>
      <c r="AB6" s="350"/>
      <c r="AC6" s="350"/>
      <c r="AD6" s="350"/>
      <c r="AE6" s="350"/>
    </row>
    <row r="7" spans="1:31" ht="12.75">
      <c r="A7" s="660">
        <v>2</v>
      </c>
      <c r="B7" s="660" t="s">
        <v>143</v>
      </c>
      <c r="C7" s="23">
        <f>'Table 3 Levels 1&amp;2'!AR10</f>
        <v>17444281</v>
      </c>
      <c r="D7" s="22">
        <v>13704</v>
      </c>
      <c r="E7" s="204">
        <v>0</v>
      </c>
      <c r="F7" s="22">
        <f aca="true" t="shared" si="7" ref="F7:F70">SUM(C7:E7)</f>
        <v>17457985</v>
      </c>
      <c r="G7" s="22">
        <v>1453690</v>
      </c>
      <c r="H7" s="23">
        <f aca="true" t="shared" si="8" ref="H7:H70">ROUND(G7*8,0)</f>
        <v>11629520</v>
      </c>
      <c r="I7" s="23">
        <f aca="true" t="shared" si="9" ref="I7:I70">+F7-H7</f>
        <v>5828465</v>
      </c>
      <c r="J7" s="23">
        <f aca="true" t="shared" si="10" ref="J7:J70">ROUND(I7/4,0)</f>
        <v>1457116</v>
      </c>
      <c r="K7" s="23">
        <f>+'[1]Table 3 Distribution W Adj'!I10</f>
        <v>16612410.586684357</v>
      </c>
      <c r="L7" s="23">
        <f>+F7-K7</f>
        <v>845574.4133156426</v>
      </c>
      <c r="M7" s="16">
        <f t="shared" si="0"/>
        <v>845574.4133156426</v>
      </c>
      <c r="N7" s="16">
        <f t="shared" si="1"/>
        <v>0</v>
      </c>
      <c r="O7" s="16">
        <v>28208</v>
      </c>
      <c r="P7" s="136">
        <f t="shared" si="2"/>
        <v>0.75</v>
      </c>
      <c r="Q7" s="132">
        <v>326.519999980927</v>
      </c>
      <c r="R7" s="141">
        <f t="shared" si="3"/>
        <v>1701</v>
      </c>
      <c r="S7" s="346"/>
      <c r="T7" s="346"/>
      <c r="U7" s="347"/>
      <c r="V7" s="348">
        <f t="shared" si="4"/>
        <v>0</v>
      </c>
      <c r="W7" s="16">
        <f t="shared" si="5"/>
        <v>0</v>
      </c>
      <c r="X7" s="16" t="e">
        <f>#REF!</f>
        <v>#REF!</v>
      </c>
      <c r="Y7" s="23">
        <v>15884978</v>
      </c>
      <c r="Z7" s="16" t="e">
        <f>#REF!-Y7</f>
        <v>#REF!</v>
      </c>
      <c r="AA7" s="351" t="e">
        <f t="shared" si="6"/>
        <v>#REF!</v>
      </c>
      <c r="AB7" s="350"/>
      <c r="AC7" s="350"/>
      <c r="AD7" s="350"/>
      <c r="AE7" s="350"/>
    </row>
    <row r="8" spans="1:31" ht="12.75">
      <c r="A8" s="660">
        <v>3</v>
      </c>
      <c r="B8" s="660" t="s">
        <v>144</v>
      </c>
      <c r="C8" s="23">
        <f>'Table 3 Levels 1&amp;2'!AR11</f>
        <v>41306276</v>
      </c>
      <c r="D8" s="22">
        <v>273289</v>
      </c>
      <c r="E8" s="204">
        <v>0</v>
      </c>
      <c r="F8" s="22">
        <f t="shared" si="7"/>
        <v>41579565</v>
      </c>
      <c r="G8" s="22">
        <v>3448407</v>
      </c>
      <c r="H8" s="23">
        <f t="shared" si="8"/>
        <v>27587256</v>
      </c>
      <c r="I8" s="23">
        <f t="shared" si="9"/>
        <v>13992309</v>
      </c>
      <c r="J8" s="23">
        <f t="shared" si="10"/>
        <v>3498077</v>
      </c>
      <c r="K8" s="23">
        <f>+'[1]Table 3 Distribution W Adj'!I11</f>
        <v>38187093.14745197</v>
      </c>
      <c r="L8" s="23">
        <f aca="true" t="shared" si="11" ref="L8:L71">+F8-K8</f>
        <v>3392471.852548033</v>
      </c>
      <c r="M8" s="16">
        <f t="shared" si="0"/>
        <v>3392471.852548033</v>
      </c>
      <c r="N8" s="16">
        <f t="shared" si="1"/>
        <v>0</v>
      </c>
      <c r="O8" s="16">
        <v>34661</v>
      </c>
      <c r="P8" s="136">
        <f t="shared" si="2"/>
        <v>0.75</v>
      </c>
      <c r="Q8" s="132">
        <v>940.788571476936</v>
      </c>
      <c r="R8" s="141">
        <f t="shared" si="3"/>
        <v>2368</v>
      </c>
      <c r="S8" s="347"/>
      <c r="T8" s="346"/>
      <c r="U8" s="347"/>
      <c r="V8" s="348">
        <f t="shared" si="4"/>
        <v>0</v>
      </c>
      <c r="W8" s="16">
        <f t="shared" si="5"/>
        <v>0</v>
      </c>
      <c r="X8" s="16" t="e">
        <f>#REF!</f>
        <v>#REF!</v>
      </c>
      <c r="Y8" s="23">
        <v>36480137</v>
      </c>
      <c r="Z8" s="16" t="e">
        <f>#REF!-Y8</f>
        <v>#REF!</v>
      </c>
      <c r="AA8" s="351" t="e">
        <f t="shared" si="6"/>
        <v>#REF!</v>
      </c>
      <c r="AB8" s="350"/>
      <c r="AC8" s="350"/>
      <c r="AD8" s="350"/>
      <c r="AE8" s="350"/>
    </row>
    <row r="9" spans="1:31" ht="12.75">
      <c r="A9" s="660">
        <v>4</v>
      </c>
      <c r="B9" s="660" t="s">
        <v>145</v>
      </c>
      <c r="C9" s="23">
        <f>'Table 3 Levels 1&amp;2'!AR12</f>
        <v>18960160</v>
      </c>
      <c r="D9" s="22">
        <v>7231</v>
      </c>
      <c r="E9" s="204">
        <v>0</v>
      </c>
      <c r="F9" s="22">
        <f t="shared" si="7"/>
        <v>18967391</v>
      </c>
      <c r="G9" s="22">
        <v>1581536</v>
      </c>
      <c r="H9" s="23">
        <f t="shared" si="8"/>
        <v>12652288</v>
      </c>
      <c r="I9" s="23">
        <f t="shared" si="9"/>
        <v>6315103</v>
      </c>
      <c r="J9" s="23">
        <f t="shared" si="10"/>
        <v>1578776</v>
      </c>
      <c r="K9" s="23">
        <f>+'[1]Table 3 Distribution W Adj'!I12</f>
        <v>18105451.71471527</v>
      </c>
      <c r="L9" s="23">
        <f t="shared" si="11"/>
        <v>861939.2852847315</v>
      </c>
      <c r="M9" s="16">
        <f t="shared" si="0"/>
        <v>861939.2852847315</v>
      </c>
      <c r="N9" s="16">
        <f t="shared" si="1"/>
        <v>0</v>
      </c>
      <c r="O9" s="16">
        <v>31227</v>
      </c>
      <c r="P9" s="136">
        <f t="shared" si="2"/>
        <v>0.75</v>
      </c>
      <c r="Q9" s="132">
        <v>319.599999904633</v>
      </c>
      <c r="R9" s="141">
        <f t="shared" si="3"/>
        <v>1771</v>
      </c>
      <c r="S9" s="346"/>
      <c r="T9" s="346"/>
      <c r="U9" s="347"/>
      <c r="V9" s="348">
        <f t="shared" si="4"/>
        <v>0</v>
      </c>
      <c r="W9" s="16">
        <f t="shared" si="5"/>
        <v>0</v>
      </c>
      <c r="X9" s="16" t="e">
        <f>#REF!</f>
        <v>#REF!</v>
      </c>
      <c r="Y9" s="23">
        <v>18075364</v>
      </c>
      <c r="Z9" s="16" t="e">
        <f>#REF!-Y9</f>
        <v>#REF!</v>
      </c>
      <c r="AA9" s="351" t="e">
        <f t="shared" si="6"/>
        <v>#REF!</v>
      </c>
      <c r="AB9" s="350"/>
      <c r="AC9" s="350"/>
      <c r="AD9" s="350"/>
      <c r="AE9" s="350"/>
    </row>
    <row r="10" spans="1:31" ht="12.75">
      <c r="A10" s="661">
        <v>5</v>
      </c>
      <c r="B10" s="661" t="s">
        <v>146</v>
      </c>
      <c r="C10" s="24">
        <f>'Table 3 Levels 1&amp;2'!AR13</f>
        <v>24908256</v>
      </c>
      <c r="D10" s="662">
        <v>0</v>
      </c>
      <c r="E10" s="733">
        <v>-99043</v>
      </c>
      <c r="F10" s="369">
        <f t="shared" si="7"/>
        <v>24809213</v>
      </c>
      <c r="G10" s="662">
        <v>2075688</v>
      </c>
      <c r="H10" s="434">
        <f t="shared" si="8"/>
        <v>16605504</v>
      </c>
      <c r="I10" s="24">
        <f t="shared" si="9"/>
        <v>8203709</v>
      </c>
      <c r="J10" s="434">
        <f t="shared" si="10"/>
        <v>2050927</v>
      </c>
      <c r="K10" s="434">
        <f>+'[1]Table 3 Distribution W Adj'!I13</f>
        <v>24189777.102322634</v>
      </c>
      <c r="L10" s="434">
        <f t="shared" si="11"/>
        <v>619435.8976773657</v>
      </c>
      <c r="M10" s="19">
        <f t="shared" si="0"/>
        <v>619435.8976773657</v>
      </c>
      <c r="N10" s="19">
        <f t="shared" si="1"/>
        <v>0</v>
      </c>
      <c r="O10" s="19">
        <v>28774</v>
      </c>
      <c r="P10" s="137">
        <f t="shared" si="2"/>
        <v>0.75</v>
      </c>
      <c r="Q10" s="133">
        <v>440.079999685287</v>
      </c>
      <c r="R10" s="142">
        <f t="shared" si="3"/>
        <v>924</v>
      </c>
      <c r="S10" s="346"/>
      <c r="T10" s="346"/>
      <c r="U10" s="347"/>
      <c r="V10" s="352">
        <f t="shared" si="4"/>
        <v>0</v>
      </c>
      <c r="W10" s="19">
        <f t="shared" si="5"/>
        <v>0</v>
      </c>
      <c r="X10" s="19" t="e">
        <f>#REF!</f>
        <v>#REF!</v>
      </c>
      <c r="Y10" s="24">
        <v>24038972</v>
      </c>
      <c r="Z10" s="19" t="e">
        <f>#REF!-Y10</f>
        <v>#REF!</v>
      </c>
      <c r="AA10" s="353" t="e">
        <f t="shared" si="6"/>
        <v>#REF!</v>
      </c>
      <c r="AB10" s="350"/>
      <c r="AC10" s="350"/>
      <c r="AD10" s="350"/>
      <c r="AE10" s="350"/>
    </row>
    <row r="11" spans="1:31" ht="12.75">
      <c r="A11" s="660">
        <v>6</v>
      </c>
      <c r="B11" s="660" t="s">
        <v>147</v>
      </c>
      <c r="C11" s="23">
        <f>'Table 3 Levels 1&amp;2'!AR14</f>
        <v>21816227</v>
      </c>
      <c r="D11" s="22">
        <v>17373</v>
      </c>
      <c r="E11" s="204">
        <v>0</v>
      </c>
      <c r="F11" s="22">
        <f t="shared" si="7"/>
        <v>21833600</v>
      </c>
      <c r="G11" s="22">
        <v>1818019</v>
      </c>
      <c r="H11" s="23">
        <f t="shared" si="8"/>
        <v>14544152</v>
      </c>
      <c r="I11" s="23">
        <f t="shared" si="9"/>
        <v>7289448</v>
      </c>
      <c r="J11" s="23">
        <f t="shared" si="10"/>
        <v>1822362</v>
      </c>
      <c r="K11" s="23">
        <f>+'[1]Table 3 Distribution W Adj'!I14</f>
        <v>20852192.16252264</v>
      </c>
      <c r="L11" s="23">
        <f t="shared" si="11"/>
        <v>981407.8374773599</v>
      </c>
      <c r="M11" s="16">
        <f t="shared" si="0"/>
        <v>981407.8374773599</v>
      </c>
      <c r="N11" s="16">
        <f t="shared" si="1"/>
        <v>0</v>
      </c>
      <c r="O11" s="16">
        <v>29509</v>
      </c>
      <c r="P11" s="136">
        <f t="shared" si="2"/>
        <v>0.75</v>
      </c>
      <c r="Q11" s="132">
        <v>412.917619228363</v>
      </c>
      <c r="R11" s="141">
        <f t="shared" si="3"/>
        <v>1561</v>
      </c>
      <c r="S11" s="346"/>
      <c r="T11" s="346"/>
      <c r="U11" s="347"/>
      <c r="V11" s="348">
        <f t="shared" si="4"/>
        <v>0</v>
      </c>
      <c r="W11" s="16">
        <f t="shared" si="5"/>
        <v>0</v>
      </c>
      <c r="X11" s="16" t="e">
        <f>#REF!</f>
        <v>#REF!</v>
      </c>
      <c r="Y11" s="23">
        <v>19460575</v>
      </c>
      <c r="Z11" s="16" t="e">
        <f>#REF!-Y11</f>
        <v>#REF!</v>
      </c>
      <c r="AA11" s="351" t="e">
        <f t="shared" si="6"/>
        <v>#REF!</v>
      </c>
      <c r="AB11" s="350"/>
      <c r="AC11" s="350"/>
      <c r="AD11" s="350"/>
      <c r="AE11" s="350"/>
    </row>
    <row r="12" spans="1:31" ht="12.75">
      <c r="A12" s="660">
        <v>7</v>
      </c>
      <c r="B12" s="660" t="s">
        <v>148</v>
      </c>
      <c r="C12" s="23">
        <f>'Table 3 Levels 1&amp;2'!AR15</f>
        <v>8224335</v>
      </c>
      <c r="D12" s="22">
        <v>235789</v>
      </c>
      <c r="E12" s="204">
        <v>0</v>
      </c>
      <c r="F12" s="22">
        <f t="shared" si="7"/>
        <v>8460124</v>
      </c>
      <c r="G12" s="22">
        <v>671750</v>
      </c>
      <c r="H12" s="23">
        <f t="shared" si="8"/>
        <v>5374000</v>
      </c>
      <c r="I12" s="23">
        <f t="shared" si="9"/>
        <v>3086124</v>
      </c>
      <c r="J12" s="23">
        <f t="shared" si="10"/>
        <v>771531</v>
      </c>
      <c r="K12" s="23">
        <f>+'[1]Table 3 Distribution W Adj'!I15</f>
        <v>7694934.890198721</v>
      </c>
      <c r="L12" s="23">
        <f t="shared" si="11"/>
        <v>765189.1098012794</v>
      </c>
      <c r="M12" s="16">
        <f t="shared" si="0"/>
        <v>765189.1098012794</v>
      </c>
      <c r="N12" s="16">
        <f t="shared" si="1"/>
        <v>0</v>
      </c>
      <c r="O12" s="16">
        <v>30926</v>
      </c>
      <c r="P12" s="136">
        <f t="shared" si="2"/>
        <v>0.75</v>
      </c>
      <c r="Q12" s="132">
        <v>204</v>
      </c>
      <c r="R12" s="141">
        <f t="shared" si="3"/>
        <v>2463</v>
      </c>
      <c r="S12" s="346"/>
      <c r="T12" s="346"/>
      <c r="U12" s="347"/>
      <c r="V12" s="348">
        <f t="shared" si="4"/>
        <v>0</v>
      </c>
      <c r="W12" s="16">
        <f t="shared" si="5"/>
        <v>0</v>
      </c>
      <c r="X12" s="16" t="e">
        <f>#REF!</f>
        <v>#REF!</v>
      </c>
      <c r="Y12" s="23">
        <v>8562952</v>
      </c>
      <c r="Z12" s="16" t="e">
        <f>#REF!-Y12</f>
        <v>#REF!</v>
      </c>
      <c r="AA12" s="351" t="e">
        <f t="shared" si="6"/>
        <v>#REF!</v>
      </c>
      <c r="AB12" s="350"/>
      <c r="AC12" s="350"/>
      <c r="AD12" s="350"/>
      <c r="AE12" s="350"/>
    </row>
    <row r="13" spans="1:31" ht="12.75">
      <c r="A13" s="660">
        <v>8</v>
      </c>
      <c r="B13" s="660" t="s">
        <v>149</v>
      </c>
      <c r="C13" s="23">
        <f>'Table 3 Levels 1&amp;2'!AR16</f>
        <v>59218205</v>
      </c>
      <c r="D13" s="22">
        <v>191343</v>
      </c>
      <c r="E13" s="204">
        <v>0</v>
      </c>
      <c r="F13" s="22">
        <f t="shared" si="7"/>
        <v>59409548</v>
      </c>
      <c r="G13" s="22">
        <v>4953606</v>
      </c>
      <c r="H13" s="23">
        <f t="shared" si="8"/>
        <v>39628848</v>
      </c>
      <c r="I13" s="23">
        <f t="shared" si="9"/>
        <v>19780700</v>
      </c>
      <c r="J13" s="23">
        <f t="shared" si="10"/>
        <v>4945175</v>
      </c>
      <c r="K13" s="23">
        <f>+'[1]Table 3 Distribution W Adj'!I16</f>
        <v>56918910.916562006</v>
      </c>
      <c r="L13" s="23">
        <f t="shared" si="11"/>
        <v>2490637.083437994</v>
      </c>
      <c r="M13" s="16">
        <f t="shared" si="0"/>
        <v>2490637.083437994</v>
      </c>
      <c r="N13" s="16">
        <f t="shared" si="1"/>
        <v>0</v>
      </c>
      <c r="O13" s="16">
        <v>30562</v>
      </c>
      <c r="P13" s="136">
        <f t="shared" si="2"/>
        <v>0.75</v>
      </c>
      <c r="Q13" s="132">
        <v>1140</v>
      </c>
      <c r="R13" s="141">
        <f t="shared" si="3"/>
        <v>1435</v>
      </c>
      <c r="S13" s="346"/>
      <c r="T13" s="346"/>
      <c r="U13" s="347"/>
      <c r="V13" s="348">
        <f t="shared" si="4"/>
        <v>0</v>
      </c>
      <c r="W13" s="16">
        <f t="shared" si="5"/>
        <v>0</v>
      </c>
      <c r="X13" s="16" t="e">
        <f>#REF!</f>
        <v>#REF!</v>
      </c>
      <c r="Y13" s="23">
        <v>53941780</v>
      </c>
      <c r="Z13" s="16" t="e">
        <f>#REF!-Y13</f>
        <v>#REF!</v>
      </c>
      <c r="AA13" s="351" t="e">
        <f t="shared" si="6"/>
        <v>#REF!</v>
      </c>
      <c r="AB13" s="350"/>
      <c r="AC13" s="350"/>
      <c r="AD13" s="350"/>
      <c r="AE13" s="350"/>
    </row>
    <row r="14" spans="1:31" ht="12.75">
      <c r="A14" s="660">
        <v>9</v>
      </c>
      <c r="B14" s="660" t="s">
        <v>150</v>
      </c>
      <c r="C14" s="23">
        <f>'Table 3 Levels 1&amp;2'!AR17</f>
        <v>157040403</v>
      </c>
      <c r="D14" s="22">
        <v>0</v>
      </c>
      <c r="E14" s="204">
        <v>-966576</v>
      </c>
      <c r="F14" s="22">
        <f t="shared" si="7"/>
        <v>156073827</v>
      </c>
      <c r="G14" s="22">
        <v>13085609</v>
      </c>
      <c r="H14" s="23">
        <f t="shared" si="8"/>
        <v>104684872</v>
      </c>
      <c r="I14" s="23">
        <f t="shared" si="9"/>
        <v>51388955</v>
      </c>
      <c r="J14" s="23">
        <f t="shared" si="10"/>
        <v>12847239</v>
      </c>
      <c r="K14" s="23">
        <f>+'[1]Table 3 Distribution W Adj'!I17</f>
        <v>150270591.9822137</v>
      </c>
      <c r="L14" s="23">
        <f t="shared" si="11"/>
        <v>5803235.017786294</v>
      </c>
      <c r="M14" s="16">
        <f t="shared" si="0"/>
        <v>5803235.017786294</v>
      </c>
      <c r="N14" s="16">
        <f t="shared" si="1"/>
        <v>0</v>
      </c>
      <c r="O14" s="16">
        <v>35732</v>
      </c>
      <c r="P14" s="136">
        <f t="shared" si="2"/>
        <v>0.75</v>
      </c>
      <c r="Q14" s="132">
        <v>2979.58333343267</v>
      </c>
      <c r="R14" s="141">
        <f t="shared" si="3"/>
        <v>1279</v>
      </c>
      <c r="S14" s="346"/>
      <c r="T14" s="346"/>
      <c r="U14" s="347"/>
      <c r="V14" s="348">
        <f t="shared" si="4"/>
        <v>0</v>
      </c>
      <c r="W14" s="16">
        <f t="shared" si="5"/>
        <v>0</v>
      </c>
      <c r="X14" s="16" t="e">
        <f>#REF!</f>
        <v>#REF!</v>
      </c>
      <c r="Y14" s="23">
        <v>150017772</v>
      </c>
      <c r="Z14" s="16" t="e">
        <f>#REF!-Y14</f>
        <v>#REF!</v>
      </c>
      <c r="AA14" s="351" t="e">
        <f t="shared" si="6"/>
        <v>#REF!</v>
      </c>
      <c r="AB14" s="350"/>
      <c r="AC14" s="350"/>
      <c r="AD14" s="350"/>
      <c r="AE14" s="350"/>
    </row>
    <row r="15" spans="1:31" ht="12.75">
      <c r="A15" s="661">
        <v>10</v>
      </c>
      <c r="B15" s="661" t="s">
        <v>151</v>
      </c>
      <c r="C15" s="24">
        <f>'Table 3 Levels 1&amp;2'!AR18</f>
        <v>90646152</v>
      </c>
      <c r="D15" s="662">
        <v>0</v>
      </c>
      <c r="E15" s="733">
        <v>-246795</v>
      </c>
      <c r="F15" s="369">
        <f t="shared" si="7"/>
        <v>90399357</v>
      </c>
      <c r="G15" s="369">
        <v>7552253</v>
      </c>
      <c r="H15" s="434">
        <f t="shared" si="8"/>
        <v>60418024</v>
      </c>
      <c r="I15" s="24">
        <f t="shared" si="9"/>
        <v>29981333</v>
      </c>
      <c r="J15" s="434">
        <f t="shared" si="10"/>
        <v>7495333</v>
      </c>
      <c r="K15" s="434">
        <f>+'[1]Table 3 Distribution W Adj'!I18</f>
        <v>86289748.889641</v>
      </c>
      <c r="L15" s="434">
        <f t="shared" si="11"/>
        <v>4109608.110358998</v>
      </c>
      <c r="M15" s="19">
        <f t="shared" si="0"/>
        <v>4109608.110358998</v>
      </c>
      <c r="N15" s="19">
        <f t="shared" si="1"/>
        <v>0</v>
      </c>
      <c r="O15" s="19">
        <v>31634</v>
      </c>
      <c r="P15" s="137">
        <f t="shared" si="2"/>
        <v>0.75</v>
      </c>
      <c r="Q15" s="133">
        <v>2191.8440476954</v>
      </c>
      <c r="R15" s="142">
        <f t="shared" si="3"/>
        <v>1231</v>
      </c>
      <c r="S15" s="346"/>
      <c r="T15" s="346"/>
      <c r="U15" s="347"/>
      <c r="V15" s="352">
        <f t="shared" si="4"/>
        <v>0</v>
      </c>
      <c r="W15" s="19">
        <f t="shared" si="5"/>
        <v>0</v>
      </c>
      <c r="X15" s="19" t="e">
        <f>#REF!</f>
        <v>#REF!</v>
      </c>
      <c r="Y15" s="24">
        <v>80272000</v>
      </c>
      <c r="Z15" s="19" t="e">
        <f>#REF!-Y15</f>
        <v>#REF!</v>
      </c>
      <c r="AA15" s="353" t="e">
        <f t="shared" si="6"/>
        <v>#REF!</v>
      </c>
      <c r="AB15" s="350"/>
      <c r="AC15" s="350"/>
      <c r="AD15" s="350"/>
      <c r="AE15" s="350"/>
    </row>
    <row r="16" spans="1:31" ht="12.75">
      <c r="A16" s="660">
        <v>11</v>
      </c>
      <c r="B16" s="660" t="s">
        <v>152</v>
      </c>
      <c r="C16" s="23">
        <f>'Table 3 Levels 1&amp;2'!AR19</f>
        <v>7763910</v>
      </c>
      <c r="D16" s="22">
        <v>0</v>
      </c>
      <c r="E16" s="204">
        <v>-48030</v>
      </c>
      <c r="F16" s="22">
        <f t="shared" si="7"/>
        <v>7715880</v>
      </c>
      <c r="G16" s="22">
        <v>637866</v>
      </c>
      <c r="H16" s="23">
        <f t="shared" si="8"/>
        <v>5102928</v>
      </c>
      <c r="I16" s="23">
        <f t="shared" si="9"/>
        <v>2612952</v>
      </c>
      <c r="J16" s="23">
        <f t="shared" si="10"/>
        <v>653238</v>
      </c>
      <c r="K16" s="23">
        <f>+'[1]Table 3 Distribution W Adj'!I19</f>
        <v>7302903.353580234</v>
      </c>
      <c r="L16" s="23">
        <f t="shared" si="11"/>
        <v>412976.64641976636</v>
      </c>
      <c r="M16" s="16">
        <f t="shared" si="0"/>
        <v>412976.64641976636</v>
      </c>
      <c r="N16" s="16">
        <f t="shared" si="1"/>
        <v>0</v>
      </c>
      <c r="O16" s="16">
        <v>27505</v>
      </c>
      <c r="P16" s="136">
        <f t="shared" si="2"/>
        <v>0.75</v>
      </c>
      <c r="Q16" s="132">
        <v>143</v>
      </c>
      <c r="R16" s="141">
        <f t="shared" si="3"/>
        <v>1897</v>
      </c>
      <c r="S16" s="346"/>
      <c r="T16" s="346"/>
      <c r="U16" s="347"/>
      <c r="V16" s="348">
        <f t="shared" si="4"/>
        <v>0</v>
      </c>
      <c r="W16" s="16">
        <f t="shared" si="5"/>
        <v>0</v>
      </c>
      <c r="X16" s="16" t="e">
        <f>#REF!</f>
        <v>#REF!</v>
      </c>
      <c r="Y16" s="23">
        <v>7718038</v>
      </c>
      <c r="Z16" s="16" t="e">
        <f>#REF!-Y16</f>
        <v>#REF!</v>
      </c>
      <c r="AA16" s="351" t="e">
        <f t="shared" si="6"/>
        <v>#REF!</v>
      </c>
      <c r="AB16" s="350"/>
      <c r="AC16" s="350"/>
      <c r="AD16" s="350"/>
      <c r="AE16" s="350"/>
    </row>
    <row r="17" spans="1:31" ht="12.75">
      <c r="A17" s="660">
        <v>12</v>
      </c>
      <c r="B17" s="660" t="s">
        <v>153</v>
      </c>
      <c r="C17" s="23">
        <f>'Table 3 Levels 1&amp;2'!AR20</f>
        <v>6261450</v>
      </c>
      <c r="D17" s="22">
        <v>4774</v>
      </c>
      <c r="E17" s="204">
        <v>0</v>
      </c>
      <c r="F17" s="22">
        <f t="shared" si="7"/>
        <v>6266224</v>
      </c>
      <c r="G17" s="22">
        <v>527257</v>
      </c>
      <c r="H17" s="23">
        <f t="shared" si="8"/>
        <v>4218056</v>
      </c>
      <c r="I17" s="23">
        <f t="shared" si="9"/>
        <v>2048168</v>
      </c>
      <c r="J17" s="23">
        <f t="shared" si="10"/>
        <v>512042</v>
      </c>
      <c r="K17" s="23">
        <f>+'[1]Table 3 Distribution W Adj'!I20</f>
        <v>5930431.085335275</v>
      </c>
      <c r="L17" s="23">
        <f t="shared" si="11"/>
        <v>335792.91466472484</v>
      </c>
      <c r="M17" s="16">
        <f t="shared" si="0"/>
        <v>335792.91466472484</v>
      </c>
      <c r="N17" s="16">
        <f t="shared" si="1"/>
        <v>0</v>
      </c>
      <c r="O17" s="16">
        <v>33089</v>
      </c>
      <c r="P17" s="136">
        <f t="shared" si="2"/>
        <v>0.75</v>
      </c>
      <c r="Q17" s="132">
        <v>146</v>
      </c>
      <c r="R17" s="141">
        <f t="shared" si="3"/>
        <v>1510</v>
      </c>
      <c r="S17" s="346"/>
      <c r="T17" s="346"/>
      <c r="U17" s="347"/>
      <c r="V17" s="348">
        <f t="shared" si="4"/>
        <v>0</v>
      </c>
      <c r="W17" s="16">
        <f t="shared" si="5"/>
        <v>0</v>
      </c>
      <c r="X17" s="16" t="e">
        <f>#REF!</f>
        <v>#REF!</v>
      </c>
      <c r="Y17" s="23">
        <v>5186296</v>
      </c>
      <c r="Z17" s="16" t="e">
        <f>#REF!-Y17</f>
        <v>#REF!</v>
      </c>
      <c r="AA17" s="351" t="e">
        <f t="shared" si="6"/>
        <v>#REF!</v>
      </c>
      <c r="AB17" s="350"/>
      <c r="AC17" s="350"/>
      <c r="AD17" s="350"/>
      <c r="AE17" s="350"/>
    </row>
    <row r="18" spans="1:31" ht="12.75">
      <c r="A18" s="660">
        <v>13</v>
      </c>
      <c r="B18" s="660" t="s">
        <v>154</v>
      </c>
      <c r="C18" s="23">
        <f>'Table 3 Levels 1&amp;2'!AR21</f>
        <v>7838974</v>
      </c>
      <c r="D18" s="22">
        <v>5106</v>
      </c>
      <c r="E18" s="204">
        <v>0</v>
      </c>
      <c r="F18" s="22">
        <f t="shared" si="7"/>
        <v>7844080</v>
      </c>
      <c r="G18" s="22">
        <v>653248</v>
      </c>
      <c r="H18" s="23">
        <f t="shared" si="8"/>
        <v>5225984</v>
      </c>
      <c r="I18" s="23">
        <f t="shared" si="9"/>
        <v>2618096</v>
      </c>
      <c r="J18" s="23">
        <f t="shared" si="10"/>
        <v>654524</v>
      </c>
      <c r="K18" s="23">
        <f>+'[1]Table 3 Distribution W Adj'!I21</f>
        <v>7470143.058105277</v>
      </c>
      <c r="L18" s="23">
        <f t="shared" si="11"/>
        <v>373936.9418947231</v>
      </c>
      <c r="M18" s="16">
        <f t="shared" si="0"/>
        <v>373936.9418947231</v>
      </c>
      <c r="N18" s="16">
        <f t="shared" si="1"/>
        <v>0</v>
      </c>
      <c r="O18" s="16">
        <v>25720</v>
      </c>
      <c r="P18" s="136">
        <f t="shared" si="2"/>
        <v>0.75</v>
      </c>
      <c r="Q18" s="132">
        <v>154</v>
      </c>
      <c r="R18" s="141">
        <f t="shared" si="3"/>
        <v>1595</v>
      </c>
      <c r="S18" s="346"/>
      <c r="T18" s="346"/>
      <c r="U18" s="347"/>
      <c r="V18" s="348">
        <f t="shared" si="4"/>
        <v>0</v>
      </c>
      <c r="W18" s="16">
        <f t="shared" si="5"/>
        <v>0</v>
      </c>
      <c r="X18" s="16" t="e">
        <f>#REF!</f>
        <v>#REF!</v>
      </c>
      <c r="Y18" s="23">
        <v>7701791</v>
      </c>
      <c r="Z18" s="16" t="e">
        <f>#REF!-Y18</f>
        <v>#REF!</v>
      </c>
      <c r="AA18" s="351" t="e">
        <f t="shared" si="6"/>
        <v>#REF!</v>
      </c>
      <c r="AB18" s="350"/>
      <c r="AC18" s="350"/>
      <c r="AD18" s="350"/>
      <c r="AE18" s="350"/>
    </row>
    <row r="19" spans="1:31" ht="12.75">
      <c r="A19" s="660">
        <v>14</v>
      </c>
      <c r="B19" s="660" t="s">
        <v>155</v>
      </c>
      <c r="C19" s="23">
        <f>'Table 3 Levels 1&amp;2'!AR22</f>
        <v>11344220</v>
      </c>
      <c r="D19" s="22">
        <v>0</v>
      </c>
      <c r="E19" s="204">
        <v>-6077</v>
      </c>
      <c r="F19" s="22">
        <f t="shared" si="7"/>
        <v>11338143</v>
      </c>
      <c r="G19" s="22">
        <v>945352</v>
      </c>
      <c r="H19" s="23">
        <f t="shared" si="8"/>
        <v>7562816</v>
      </c>
      <c r="I19" s="23">
        <f t="shared" si="9"/>
        <v>3775327</v>
      </c>
      <c r="J19" s="23">
        <f t="shared" si="10"/>
        <v>943832</v>
      </c>
      <c r="K19" s="23">
        <f>+'[1]Table 3 Distribution W Adj'!I22</f>
        <v>10808578.774430977</v>
      </c>
      <c r="L19" s="23">
        <f t="shared" si="11"/>
        <v>529564.2255690228</v>
      </c>
      <c r="M19" s="16">
        <f t="shared" si="0"/>
        <v>529564.2255690228</v>
      </c>
      <c r="N19" s="16">
        <f t="shared" si="1"/>
        <v>0</v>
      </c>
      <c r="O19" s="16">
        <v>28838</v>
      </c>
      <c r="P19" s="136">
        <f t="shared" si="2"/>
        <v>0.75</v>
      </c>
      <c r="Q19" s="132">
        <v>209</v>
      </c>
      <c r="R19" s="141">
        <f t="shared" si="3"/>
        <v>1664</v>
      </c>
      <c r="S19" s="346"/>
      <c r="T19" s="346"/>
      <c r="U19" s="347"/>
      <c r="V19" s="348">
        <f t="shared" si="4"/>
        <v>0</v>
      </c>
      <c r="W19" s="16">
        <f t="shared" si="5"/>
        <v>0</v>
      </c>
      <c r="X19" s="16" t="e">
        <f>#REF!</f>
        <v>#REF!</v>
      </c>
      <c r="Y19" s="23">
        <v>10115890</v>
      </c>
      <c r="Z19" s="16" t="e">
        <f>#REF!-Y19</f>
        <v>#REF!</v>
      </c>
      <c r="AA19" s="351" t="e">
        <f t="shared" si="6"/>
        <v>#REF!</v>
      </c>
      <c r="AB19" s="350"/>
      <c r="AC19" s="350"/>
      <c r="AD19" s="350"/>
      <c r="AE19" s="350"/>
    </row>
    <row r="20" spans="1:31" ht="12.75">
      <c r="A20" s="661">
        <v>15</v>
      </c>
      <c r="B20" s="661" t="s">
        <v>156</v>
      </c>
      <c r="C20" s="24">
        <f>'Table 3 Levels 1&amp;2'!AR23</f>
        <v>14023802</v>
      </c>
      <c r="D20" s="662">
        <v>21151</v>
      </c>
      <c r="E20" s="733">
        <v>0</v>
      </c>
      <c r="F20" s="369">
        <f t="shared" si="7"/>
        <v>14044953</v>
      </c>
      <c r="G20" s="369">
        <v>1165600</v>
      </c>
      <c r="H20" s="434">
        <f t="shared" si="8"/>
        <v>9324800</v>
      </c>
      <c r="I20" s="24">
        <f t="shared" si="9"/>
        <v>4720153</v>
      </c>
      <c r="J20" s="434">
        <f t="shared" si="10"/>
        <v>1180038</v>
      </c>
      <c r="K20" s="434">
        <f>+'[1]Table 3 Distribution W Adj'!I23</f>
        <v>13390491.986020798</v>
      </c>
      <c r="L20" s="434">
        <f t="shared" si="11"/>
        <v>654461.0139792021</v>
      </c>
      <c r="M20" s="19">
        <f t="shared" si="0"/>
        <v>654461.0139792021</v>
      </c>
      <c r="N20" s="19">
        <f t="shared" si="1"/>
        <v>0</v>
      </c>
      <c r="O20" s="19">
        <v>29476</v>
      </c>
      <c r="P20" s="137">
        <f t="shared" si="2"/>
        <v>0.75</v>
      </c>
      <c r="Q20" s="133">
        <v>271.273333288729</v>
      </c>
      <c r="R20" s="142">
        <f t="shared" si="3"/>
        <v>1584</v>
      </c>
      <c r="S20" s="346"/>
      <c r="T20" s="346"/>
      <c r="U20" s="347"/>
      <c r="V20" s="352">
        <f t="shared" si="4"/>
        <v>0</v>
      </c>
      <c r="W20" s="19">
        <f t="shared" si="5"/>
        <v>0</v>
      </c>
      <c r="X20" s="19" t="e">
        <f>#REF!</f>
        <v>#REF!</v>
      </c>
      <c r="Y20" s="24">
        <v>14335444</v>
      </c>
      <c r="Z20" s="19" t="e">
        <f>#REF!-Y20</f>
        <v>#REF!</v>
      </c>
      <c r="AA20" s="353" t="e">
        <f t="shared" si="6"/>
        <v>#REF!</v>
      </c>
      <c r="AB20" s="350"/>
      <c r="AC20" s="350"/>
      <c r="AD20" s="350"/>
      <c r="AE20" s="350"/>
    </row>
    <row r="21" spans="1:31" ht="12.75">
      <c r="A21" s="660">
        <v>16</v>
      </c>
      <c r="B21" s="660" t="s">
        <v>157</v>
      </c>
      <c r="C21" s="23">
        <f>'Table 3 Levels 1&amp;2'!AR24</f>
        <v>18238532</v>
      </c>
      <c r="D21" s="22">
        <v>0</v>
      </c>
      <c r="E21" s="204">
        <v>-20409</v>
      </c>
      <c r="F21" s="22">
        <f t="shared" si="7"/>
        <v>18218123</v>
      </c>
      <c r="G21" s="22">
        <v>1519679</v>
      </c>
      <c r="H21" s="23">
        <f t="shared" si="8"/>
        <v>12157432</v>
      </c>
      <c r="I21" s="23">
        <f t="shared" si="9"/>
        <v>6060691</v>
      </c>
      <c r="J21" s="23">
        <f t="shared" si="10"/>
        <v>1515173</v>
      </c>
      <c r="K21" s="23">
        <f>+'[1]Table 3 Distribution W Adj'!I24</f>
        <v>17445447.198654614</v>
      </c>
      <c r="L21" s="23">
        <f t="shared" si="11"/>
        <v>772675.8013453856</v>
      </c>
      <c r="M21" s="16">
        <f t="shared" si="0"/>
        <v>772675.8013453856</v>
      </c>
      <c r="N21" s="16">
        <f t="shared" si="1"/>
        <v>0</v>
      </c>
      <c r="O21" s="16">
        <v>30581</v>
      </c>
      <c r="P21" s="136">
        <f t="shared" si="2"/>
        <v>0.75</v>
      </c>
      <c r="Q21" s="132">
        <v>367.666666686535</v>
      </c>
      <c r="R21" s="141">
        <f t="shared" si="3"/>
        <v>1380</v>
      </c>
      <c r="S21" s="346"/>
      <c r="T21" s="346"/>
      <c r="U21" s="347"/>
      <c r="V21" s="348">
        <f t="shared" si="4"/>
        <v>0</v>
      </c>
      <c r="W21" s="16">
        <f t="shared" si="5"/>
        <v>0</v>
      </c>
      <c r="X21" s="16" t="e">
        <f>#REF!</f>
        <v>#REF!</v>
      </c>
      <c r="Y21" s="23">
        <v>15922083</v>
      </c>
      <c r="Z21" s="16" t="e">
        <f>#REF!-Y21</f>
        <v>#REF!</v>
      </c>
      <c r="AA21" s="351" t="e">
        <f t="shared" si="6"/>
        <v>#REF!</v>
      </c>
      <c r="AB21" s="350"/>
      <c r="AC21" s="350"/>
      <c r="AD21" s="350"/>
      <c r="AE21" s="350"/>
    </row>
    <row r="22" spans="1:31" ht="12.75">
      <c r="A22" s="660">
        <v>17</v>
      </c>
      <c r="B22" s="660" t="s">
        <v>158</v>
      </c>
      <c r="C22" s="23">
        <f>'Table 3 Levels 1&amp;2'!AR25</f>
        <v>143898187</v>
      </c>
      <c r="D22" s="22">
        <v>0</v>
      </c>
      <c r="E22" s="204">
        <v>-832016</v>
      </c>
      <c r="F22" s="22">
        <f t="shared" si="7"/>
        <v>143066171</v>
      </c>
      <c r="G22" s="22">
        <v>12062203</v>
      </c>
      <c r="H22" s="23">
        <f t="shared" si="8"/>
        <v>96497624</v>
      </c>
      <c r="I22" s="23">
        <f t="shared" si="9"/>
        <v>46568547</v>
      </c>
      <c r="J22" s="23">
        <f t="shared" si="10"/>
        <v>11642137</v>
      </c>
      <c r="K22" s="23">
        <f>+'[1]Table 3 Distribution W Adj'!I25</f>
        <v>134805145.79060185</v>
      </c>
      <c r="L22" s="23">
        <f t="shared" si="11"/>
        <v>8261025.20939815</v>
      </c>
      <c r="M22" s="16">
        <f t="shared" si="0"/>
        <v>8261025.20939815</v>
      </c>
      <c r="N22" s="16">
        <f t="shared" si="1"/>
        <v>0</v>
      </c>
      <c r="O22" s="16">
        <v>33181</v>
      </c>
      <c r="P22" s="136">
        <f t="shared" si="2"/>
        <v>0.75</v>
      </c>
      <c r="Q22" s="132">
        <v>3774</v>
      </c>
      <c r="R22" s="141">
        <f t="shared" si="3"/>
        <v>1438</v>
      </c>
      <c r="S22" s="346"/>
      <c r="T22" s="346"/>
      <c r="U22" s="347"/>
      <c r="V22" s="348">
        <f t="shared" si="4"/>
        <v>0</v>
      </c>
      <c r="W22" s="16">
        <f t="shared" si="5"/>
        <v>0</v>
      </c>
      <c r="X22" s="16" t="e">
        <f>#REF!</f>
        <v>#REF!</v>
      </c>
      <c r="Y22" s="23">
        <v>140360224</v>
      </c>
      <c r="Z22" s="16" t="e">
        <f>#REF!-Y22</f>
        <v>#REF!</v>
      </c>
      <c r="AA22" s="351" t="e">
        <f t="shared" si="6"/>
        <v>#REF!</v>
      </c>
      <c r="AB22" s="350"/>
      <c r="AC22" s="350"/>
      <c r="AD22" s="350"/>
      <c r="AE22" s="350"/>
    </row>
    <row r="23" spans="1:31" ht="12.75">
      <c r="A23" s="660">
        <v>18</v>
      </c>
      <c r="B23" s="660" t="s">
        <v>159</v>
      </c>
      <c r="C23" s="23">
        <f>'Table 3 Levels 1&amp;2'!AR26</f>
        <v>7617672</v>
      </c>
      <c r="D23" s="22">
        <v>0</v>
      </c>
      <c r="E23" s="204">
        <v>-1355</v>
      </c>
      <c r="F23" s="22">
        <f t="shared" si="7"/>
        <v>7616317</v>
      </c>
      <c r="G23" s="22">
        <v>634806</v>
      </c>
      <c r="H23" s="23">
        <f t="shared" si="8"/>
        <v>5078448</v>
      </c>
      <c r="I23" s="23">
        <f t="shared" si="9"/>
        <v>2537869</v>
      </c>
      <c r="J23" s="23">
        <f t="shared" si="10"/>
        <v>634467</v>
      </c>
      <c r="K23" s="23">
        <f>+'[1]Table 3 Distribution W Adj'!I26</f>
        <v>7314492.971782079</v>
      </c>
      <c r="L23" s="23">
        <f t="shared" si="11"/>
        <v>301824.02821792103</v>
      </c>
      <c r="M23" s="16">
        <f t="shared" si="0"/>
        <v>301824.02821792103</v>
      </c>
      <c r="N23" s="16">
        <f t="shared" si="1"/>
        <v>0</v>
      </c>
      <c r="O23" s="16">
        <v>28042</v>
      </c>
      <c r="P23" s="136">
        <f t="shared" si="2"/>
        <v>0.75</v>
      </c>
      <c r="Q23" s="132">
        <v>130</v>
      </c>
      <c r="R23" s="141">
        <f t="shared" si="3"/>
        <v>1525</v>
      </c>
      <c r="S23" s="346"/>
      <c r="T23" s="346"/>
      <c r="U23" s="347"/>
      <c r="V23" s="348">
        <f t="shared" si="4"/>
        <v>0</v>
      </c>
      <c r="W23" s="16">
        <f t="shared" si="5"/>
        <v>0</v>
      </c>
      <c r="X23" s="16" t="e">
        <f>#REF!</f>
        <v>#REF!</v>
      </c>
      <c r="Y23" s="23">
        <v>7096358</v>
      </c>
      <c r="Z23" s="16" t="e">
        <f>#REF!-Y23</f>
        <v>#REF!</v>
      </c>
      <c r="AA23" s="351" t="e">
        <f t="shared" si="6"/>
        <v>#REF!</v>
      </c>
      <c r="AB23" s="350"/>
      <c r="AC23" s="350"/>
      <c r="AD23" s="350"/>
      <c r="AE23" s="350"/>
    </row>
    <row r="24" spans="1:31" ht="12.75">
      <c r="A24" s="660">
        <v>19</v>
      </c>
      <c r="B24" s="660" t="s">
        <v>160</v>
      </c>
      <c r="C24" s="23">
        <f>'Table 3 Levels 1&amp;2'!AR27</f>
        <v>10468858</v>
      </c>
      <c r="D24" s="22">
        <v>21182</v>
      </c>
      <c r="E24" s="204">
        <v>0</v>
      </c>
      <c r="F24" s="22">
        <f t="shared" si="7"/>
        <v>10490040</v>
      </c>
      <c r="G24" s="22">
        <v>873474</v>
      </c>
      <c r="H24" s="23">
        <f t="shared" si="8"/>
        <v>6987792</v>
      </c>
      <c r="I24" s="23">
        <f t="shared" si="9"/>
        <v>3502248</v>
      </c>
      <c r="J24" s="23">
        <f t="shared" si="10"/>
        <v>875562</v>
      </c>
      <c r="K24" s="23">
        <f>+'[1]Table 3 Distribution W Adj'!I27</f>
        <v>10032146.671849068</v>
      </c>
      <c r="L24" s="23">
        <f t="shared" si="11"/>
        <v>457893.32815093175</v>
      </c>
      <c r="M24" s="16">
        <f t="shared" si="0"/>
        <v>457893.32815093175</v>
      </c>
      <c r="N24" s="16">
        <f t="shared" si="1"/>
        <v>0</v>
      </c>
      <c r="O24" s="16">
        <v>27211</v>
      </c>
      <c r="P24" s="136">
        <f t="shared" si="2"/>
        <v>0.75</v>
      </c>
      <c r="Q24" s="132">
        <v>193.769523829222</v>
      </c>
      <c r="R24" s="141">
        <f t="shared" si="3"/>
        <v>1552</v>
      </c>
      <c r="S24" s="346"/>
      <c r="T24" s="346"/>
      <c r="U24" s="347"/>
      <c r="V24" s="348">
        <f t="shared" si="4"/>
        <v>0</v>
      </c>
      <c r="W24" s="16">
        <f t="shared" si="5"/>
        <v>0</v>
      </c>
      <c r="X24" s="16" t="e">
        <f>#REF!</f>
        <v>#REF!</v>
      </c>
      <c r="Y24" s="23">
        <v>10650934</v>
      </c>
      <c r="Z24" s="16" t="e">
        <f>#REF!-Y24</f>
        <v>#REF!</v>
      </c>
      <c r="AA24" s="351" t="e">
        <f t="shared" si="6"/>
        <v>#REF!</v>
      </c>
      <c r="AB24" s="350"/>
      <c r="AC24" s="350"/>
      <c r="AD24" s="350"/>
      <c r="AE24" s="350"/>
    </row>
    <row r="25" spans="1:31" ht="12.75">
      <c r="A25" s="661">
        <v>20</v>
      </c>
      <c r="B25" s="661" t="s">
        <v>161</v>
      </c>
      <c r="C25" s="24">
        <f>'Table 3 Levels 1&amp;2'!AR28</f>
        <v>22462873</v>
      </c>
      <c r="D25" s="662">
        <v>0</v>
      </c>
      <c r="E25" s="733">
        <v>-17157</v>
      </c>
      <c r="F25" s="369">
        <f t="shared" si="7"/>
        <v>22445716</v>
      </c>
      <c r="G25" s="369">
        <v>1871522</v>
      </c>
      <c r="H25" s="434">
        <f t="shared" si="8"/>
        <v>14972176</v>
      </c>
      <c r="I25" s="24">
        <f t="shared" si="9"/>
        <v>7473540</v>
      </c>
      <c r="J25" s="434">
        <f t="shared" si="10"/>
        <v>1868385</v>
      </c>
      <c r="K25" s="434">
        <f>+'[1]Table 3 Distribution W Adj'!I28</f>
        <v>21410046.03516213</v>
      </c>
      <c r="L25" s="434">
        <f t="shared" si="11"/>
        <v>1035669.9648378715</v>
      </c>
      <c r="M25" s="19">
        <f t="shared" si="0"/>
        <v>1035669.9648378715</v>
      </c>
      <c r="N25" s="19">
        <f t="shared" si="1"/>
        <v>0</v>
      </c>
      <c r="O25" s="19">
        <v>28314</v>
      </c>
      <c r="P25" s="137">
        <f t="shared" si="2"/>
        <v>0.75</v>
      </c>
      <c r="Q25" s="133">
        <v>429</v>
      </c>
      <c r="R25" s="142">
        <f t="shared" si="3"/>
        <v>1585</v>
      </c>
      <c r="S25" s="346"/>
      <c r="T25" s="346"/>
      <c r="U25" s="347"/>
      <c r="V25" s="352">
        <f t="shared" si="4"/>
        <v>0</v>
      </c>
      <c r="W25" s="19">
        <f t="shared" si="5"/>
        <v>0</v>
      </c>
      <c r="X25" s="19" t="e">
        <f>#REF!</f>
        <v>#REF!</v>
      </c>
      <c r="Y25" s="24">
        <v>22445760</v>
      </c>
      <c r="Z25" s="19" t="e">
        <f>#REF!-Y25</f>
        <v>#REF!</v>
      </c>
      <c r="AA25" s="353" t="e">
        <f t="shared" si="6"/>
        <v>#REF!</v>
      </c>
      <c r="AB25" s="350"/>
      <c r="AC25" s="350"/>
      <c r="AD25" s="350"/>
      <c r="AE25" s="350"/>
    </row>
    <row r="26" spans="1:31" ht="12.75">
      <c r="A26" s="660">
        <v>21</v>
      </c>
      <c r="B26" s="660" t="s">
        <v>162</v>
      </c>
      <c r="C26" s="23">
        <f>'Table 3 Levels 1&amp;2'!AR29</f>
        <v>14462808</v>
      </c>
      <c r="D26" s="22">
        <v>6597</v>
      </c>
      <c r="E26" s="204">
        <v>0</v>
      </c>
      <c r="F26" s="22">
        <f t="shared" si="7"/>
        <v>14469405</v>
      </c>
      <c r="G26" s="22">
        <v>1205234</v>
      </c>
      <c r="H26" s="23">
        <f t="shared" si="8"/>
        <v>9641872</v>
      </c>
      <c r="I26" s="23">
        <f t="shared" si="9"/>
        <v>4827533</v>
      </c>
      <c r="J26" s="23">
        <f t="shared" si="10"/>
        <v>1206883</v>
      </c>
      <c r="K26" s="23">
        <f>+'[1]Table 3 Distribution W Adj'!I29</f>
        <v>13769529.543135714</v>
      </c>
      <c r="L26" s="23">
        <f t="shared" si="11"/>
        <v>699875.4568642862</v>
      </c>
      <c r="M26" s="16">
        <f t="shared" si="0"/>
        <v>699875.4568642862</v>
      </c>
      <c r="N26" s="16">
        <f t="shared" si="1"/>
        <v>0</v>
      </c>
      <c r="O26" s="16">
        <v>26597</v>
      </c>
      <c r="P26" s="136">
        <f t="shared" si="2"/>
        <v>0.75</v>
      </c>
      <c r="Q26" s="132">
        <v>298.150666773319</v>
      </c>
      <c r="R26" s="141">
        <f t="shared" si="3"/>
        <v>1542</v>
      </c>
      <c r="S26" s="346"/>
      <c r="T26" s="346"/>
      <c r="U26" s="347"/>
      <c r="V26" s="348">
        <f t="shared" si="4"/>
        <v>0</v>
      </c>
      <c r="W26" s="16">
        <f t="shared" si="5"/>
        <v>0</v>
      </c>
      <c r="X26" s="16" t="e">
        <f>#REF!</f>
        <v>#REF!</v>
      </c>
      <c r="Y26" s="23">
        <v>13963063</v>
      </c>
      <c r="Z26" s="16" t="e">
        <f>#REF!-Y26</f>
        <v>#REF!</v>
      </c>
      <c r="AA26" s="351" t="e">
        <f t="shared" si="6"/>
        <v>#REF!</v>
      </c>
      <c r="AB26" s="350"/>
      <c r="AC26" s="350"/>
      <c r="AD26" s="350"/>
      <c r="AE26" s="350"/>
    </row>
    <row r="27" spans="1:31" ht="12.75">
      <c r="A27" s="660">
        <v>22</v>
      </c>
      <c r="B27" s="660" t="s">
        <v>163</v>
      </c>
      <c r="C27" s="23">
        <f>'Table 3 Levels 1&amp;2'!AR30</f>
        <v>15280618</v>
      </c>
      <c r="D27" s="22">
        <v>0</v>
      </c>
      <c r="E27" s="204">
        <v>-37942</v>
      </c>
      <c r="F27" s="22">
        <f t="shared" si="7"/>
        <v>15242676</v>
      </c>
      <c r="G27" s="22">
        <v>1267501</v>
      </c>
      <c r="H27" s="23">
        <f t="shared" si="8"/>
        <v>10140008</v>
      </c>
      <c r="I27" s="23">
        <f t="shared" si="9"/>
        <v>5102668</v>
      </c>
      <c r="J27" s="23">
        <f t="shared" si="10"/>
        <v>1275667</v>
      </c>
      <c r="K27" s="23">
        <f>+'[1]Table 3 Distribution W Adj'!I30</f>
        <v>14579747.783160796</v>
      </c>
      <c r="L27" s="23">
        <f t="shared" si="11"/>
        <v>662928.2168392036</v>
      </c>
      <c r="M27" s="16">
        <f t="shared" si="0"/>
        <v>662928.2168392036</v>
      </c>
      <c r="N27" s="16">
        <f t="shared" si="1"/>
        <v>0</v>
      </c>
      <c r="O27" s="16">
        <v>28221</v>
      </c>
      <c r="P27" s="136">
        <f t="shared" si="2"/>
        <v>0.75</v>
      </c>
      <c r="Q27" s="132">
        <v>242</v>
      </c>
      <c r="R27" s="141">
        <f t="shared" si="3"/>
        <v>1799</v>
      </c>
      <c r="S27" s="346"/>
      <c r="T27" s="346"/>
      <c r="U27" s="347"/>
      <c r="V27" s="348">
        <f t="shared" si="4"/>
        <v>0</v>
      </c>
      <c r="W27" s="16">
        <f t="shared" si="5"/>
        <v>0</v>
      </c>
      <c r="X27" s="16" t="e">
        <f>#REF!</f>
        <v>#REF!</v>
      </c>
      <c r="Y27" s="23">
        <v>14349683</v>
      </c>
      <c r="Z27" s="16" t="e">
        <f>#REF!-Y27</f>
        <v>#REF!</v>
      </c>
      <c r="AA27" s="351" t="e">
        <f t="shared" si="6"/>
        <v>#REF!</v>
      </c>
      <c r="AB27" s="350"/>
      <c r="AC27" s="350"/>
      <c r="AD27" s="350"/>
      <c r="AE27" s="350"/>
    </row>
    <row r="28" spans="1:31" ht="12.75">
      <c r="A28" s="660">
        <v>23</v>
      </c>
      <c r="B28" s="660" t="s">
        <v>164</v>
      </c>
      <c r="C28" s="23">
        <f>'Table 3 Levels 1&amp;2'!AR31</f>
        <v>54657410</v>
      </c>
      <c r="D28" s="22">
        <v>29508</v>
      </c>
      <c r="E28" s="204">
        <v>0</v>
      </c>
      <c r="F28" s="22">
        <f t="shared" si="7"/>
        <v>54686918</v>
      </c>
      <c r="G28" s="22">
        <v>4554785</v>
      </c>
      <c r="H28" s="23">
        <f t="shared" si="8"/>
        <v>36438280</v>
      </c>
      <c r="I28" s="23">
        <f t="shared" si="9"/>
        <v>18248638</v>
      </c>
      <c r="J28" s="23">
        <f t="shared" si="10"/>
        <v>4562160</v>
      </c>
      <c r="K28" s="23">
        <f>+'[1]Table 3 Distribution W Adj'!I31</f>
        <v>52618739.06338965</v>
      </c>
      <c r="L28" s="23">
        <f t="shared" si="11"/>
        <v>2068178.9366103485</v>
      </c>
      <c r="M28" s="16">
        <f t="shared" si="0"/>
        <v>2068178.9366103485</v>
      </c>
      <c r="N28" s="16">
        <f t="shared" si="1"/>
        <v>0</v>
      </c>
      <c r="O28" s="16">
        <v>31628</v>
      </c>
      <c r="P28" s="136">
        <f t="shared" si="2"/>
        <v>0.75</v>
      </c>
      <c r="Q28" s="132">
        <v>1012.66666668653</v>
      </c>
      <c r="R28" s="141">
        <f t="shared" si="3"/>
        <v>1341</v>
      </c>
      <c r="S28" s="346"/>
      <c r="T28" s="346"/>
      <c r="U28" s="347"/>
      <c r="V28" s="348">
        <f t="shared" si="4"/>
        <v>0</v>
      </c>
      <c r="W28" s="16">
        <f t="shared" si="5"/>
        <v>0</v>
      </c>
      <c r="X28" s="16" t="e">
        <f>#REF!</f>
        <v>#REF!</v>
      </c>
      <c r="Y28" s="23">
        <v>50716389</v>
      </c>
      <c r="Z28" s="16" t="e">
        <f>#REF!-Y28</f>
        <v>#REF!</v>
      </c>
      <c r="AA28" s="351" t="e">
        <f t="shared" si="6"/>
        <v>#REF!</v>
      </c>
      <c r="AB28" s="350"/>
      <c r="AC28" s="350"/>
      <c r="AD28" s="350"/>
      <c r="AE28" s="350"/>
    </row>
    <row r="29" spans="1:31" ht="12.75">
      <c r="A29" s="660">
        <v>24</v>
      </c>
      <c r="B29" s="660" t="s">
        <v>165</v>
      </c>
      <c r="C29" s="23">
        <f>'Table 3 Levels 1&amp;2'!AR32</f>
        <v>13154518</v>
      </c>
      <c r="D29" s="22">
        <v>2556</v>
      </c>
      <c r="E29" s="204">
        <v>0</v>
      </c>
      <c r="F29" s="22">
        <f t="shared" si="7"/>
        <v>13157074</v>
      </c>
      <c r="G29" s="22">
        <v>1105845</v>
      </c>
      <c r="H29" s="23">
        <f t="shared" si="8"/>
        <v>8846760</v>
      </c>
      <c r="I29" s="23">
        <f t="shared" si="9"/>
        <v>4310314</v>
      </c>
      <c r="J29" s="23">
        <f t="shared" si="10"/>
        <v>1077579</v>
      </c>
      <c r="K29" s="23">
        <f>+'[1]Table 3 Distribution W Adj'!I32</f>
        <v>12448563.527939519</v>
      </c>
      <c r="L29" s="23">
        <f t="shared" si="11"/>
        <v>708510.4720604811</v>
      </c>
      <c r="M29" s="16">
        <f t="shared" si="0"/>
        <v>708510.4720604811</v>
      </c>
      <c r="N29" s="16">
        <f t="shared" si="1"/>
        <v>0</v>
      </c>
      <c r="O29" s="16">
        <v>35331</v>
      </c>
      <c r="P29" s="136">
        <f t="shared" si="2"/>
        <v>0.75</v>
      </c>
      <c r="Q29" s="132">
        <v>353.491428613663</v>
      </c>
      <c r="R29" s="141">
        <f t="shared" si="3"/>
        <v>1316</v>
      </c>
      <c r="S29" s="346"/>
      <c r="T29" s="346"/>
      <c r="U29" s="347"/>
      <c r="V29" s="348">
        <f t="shared" si="4"/>
        <v>0</v>
      </c>
      <c r="W29" s="16">
        <f t="shared" si="5"/>
        <v>0</v>
      </c>
      <c r="X29" s="16" t="e">
        <f>#REF!</f>
        <v>#REF!</v>
      </c>
      <c r="Y29" s="23">
        <v>13257777</v>
      </c>
      <c r="Z29" s="16" t="e">
        <f>#REF!-Y29</f>
        <v>#REF!</v>
      </c>
      <c r="AA29" s="351" t="e">
        <f t="shared" si="6"/>
        <v>#REF!</v>
      </c>
      <c r="AB29" s="350"/>
      <c r="AC29" s="350"/>
      <c r="AD29" s="350"/>
      <c r="AE29" s="350"/>
    </row>
    <row r="30" spans="1:31" ht="12.75">
      <c r="A30" s="661">
        <v>25</v>
      </c>
      <c r="B30" s="661" t="s">
        <v>166</v>
      </c>
      <c r="C30" s="24">
        <f>'Table 3 Levels 1&amp;2'!AR33</f>
        <v>10298729</v>
      </c>
      <c r="D30" s="662">
        <v>19745</v>
      </c>
      <c r="E30" s="733">
        <v>0</v>
      </c>
      <c r="F30" s="369">
        <f t="shared" si="7"/>
        <v>10318474</v>
      </c>
      <c r="G30" s="369">
        <v>858029</v>
      </c>
      <c r="H30" s="434">
        <f t="shared" si="8"/>
        <v>6864232</v>
      </c>
      <c r="I30" s="24">
        <f t="shared" si="9"/>
        <v>3454242</v>
      </c>
      <c r="J30" s="434">
        <f t="shared" si="10"/>
        <v>863561</v>
      </c>
      <c r="K30" s="434">
        <f>+'[1]Table 3 Distribution W Adj'!I33</f>
        <v>9871670.224208234</v>
      </c>
      <c r="L30" s="434">
        <f t="shared" si="11"/>
        <v>446803.7757917661</v>
      </c>
      <c r="M30" s="19">
        <f t="shared" si="0"/>
        <v>446803.7757917661</v>
      </c>
      <c r="N30" s="19">
        <f t="shared" si="1"/>
        <v>0</v>
      </c>
      <c r="O30" s="19">
        <v>25142</v>
      </c>
      <c r="P30" s="137">
        <f t="shared" si="2"/>
        <v>0.75</v>
      </c>
      <c r="Q30" s="133">
        <v>186.514285698533</v>
      </c>
      <c r="R30" s="142">
        <f t="shared" si="3"/>
        <v>1573</v>
      </c>
      <c r="S30" s="346"/>
      <c r="T30" s="346"/>
      <c r="U30" s="347"/>
      <c r="V30" s="352">
        <f t="shared" si="4"/>
        <v>0</v>
      </c>
      <c r="W30" s="19">
        <f t="shared" si="5"/>
        <v>0</v>
      </c>
      <c r="X30" s="19" t="e">
        <f>#REF!</f>
        <v>#REF!</v>
      </c>
      <c r="Y30" s="24">
        <v>10146450</v>
      </c>
      <c r="Z30" s="19" t="e">
        <f>#REF!-Y30</f>
        <v>#REF!</v>
      </c>
      <c r="AA30" s="353" t="e">
        <f t="shared" si="6"/>
        <v>#REF!</v>
      </c>
      <c r="AB30" s="350"/>
      <c r="AC30" s="350"/>
      <c r="AD30" s="350"/>
      <c r="AE30" s="350"/>
    </row>
    <row r="31" spans="1:31" ht="12.75">
      <c r="A31" s="660">
        <v>26</v>
      </c>
      <c r="B31" s="660" t="s">
        <v>167</v>
      </c>
      <c r="C31" s="23">
        <f>'Table 3 Levels 1&amp;2'!AR34</f>
        <v>128897492</v>
      </c>
      <c r="D31" s="22">
        <v>0</v>
      </c>
      <c r="E31" s="204">
        <v>-268792</v>
      </c>
      <c r="F31" s="22">
        <f t="shared" si="7"/>
        <v>128628700</v>
      </c>
      <c r="G31" s="325">
        <v>10702484</v>
      </c>
      <c r="H31" s="465">
        <f t="shared" si="8"/>
        <v>85619872</v>
      </c>
      <c r="I31" s="354">
        <f t="shared" si="9"/>
        <v>43008828</v>
      </c>
      <c r="J31" s="23">
        <f t="shared" si="10"/>
        <v>10752207</v>
      </c>
      <c r="K31" s="23">
        <f>+'[1]Table 3 Distribution W Adj'!I34</f>
        <v>119418042.64395283</v>
      </c>
      <c r="L31" s="23">
        <f t="shared" si="11"/>
        <v>9210657.356047168</v>
      </c>
      <c r="M31" s="16">
        <f t="shared" si="0"/>
        <v>9210657.356047168</v>
      </c>
      <c r="N31" s="16">
        <f t="shared" si="1"/>
        <v>0</v>
      </c>
      <c r="O31" s="16">
        <v>33532</v>
      </c>
      <c r="P31" s="136">
        <f t="shared" si="2"/>
        <v>0.75</v>
      </c>
      <c r="Q31" s="132">
        <v>3399.07999992371</v>
      </c>
      <c r="R31" s="141">
        <f t="shared" si="3"/>
        <v>1780</v>
      </c>
      <c r="S31" s="346"/>
      <c r="T31" s="346"/>
      <c r="U31" s="347"/>
      <c r="V31" s="348">
        <f t="shared" si="4"/>
        <v>0</v>
      </c>
      <c r="W31" s="16">
        <f t="shared" si="5"/>
        <v>0</v>
      </c>
      <c r="X31" s="16" t="e">
        <f>#REF!</f>
        <v>#REF!</v>
      </c>
      <c r="Y31" s="23">
        <v>125656601</v>
      </c>
      <c r="Z31" s="16" t="e">
        <f>#REF!-Y31</f>
        <v>#REF!</v>
      </c>
      <c r="AA31" s="351" t="e">
        <f t="shared" si="6"/>
        <v>#REF!</v>
      </c>
      <c r="AB31" s="350"/>
      <c r="AC31" s="350"/>
      <c r="AD31" s="350"/>
      <c r="AE31" s="350"/>
    </row>
    <row r="32" spans="1:31" ht="12.75">
      <c r="A32" s="660">
        <v>27</v>
      </c>
      <c r="B32" s="660" t="s">
        <v>168</v>
      </c>
      <c r="C32" s="23">
        <f>'Table 3 Levels 1&amp;2'!AR35</f>
        <v>23008131</v>
      </c>
      <c r="D32" s="22">
        <v>0</v>
      </c>
      <c r="E32" s="204">
        <v>-71108</v>
      </c>
      <c r="F32" s="22">
        <f t="shared" si="7"/>
        <v>22937023</v>
      </c>
      <c r="G32" s="22">
        <v>1917146</v>
      </c>
      <c r="H32" s="23">
        <f t="shared" si="8"/>
        <v>15337168</v>
      </c>
      <c r="I32" s="23">
        <f t="shared" si="9"/>
        <v>7599855</v>
      </c>
      <c r="J32" s="23">
        <f t="shared" si="10"/>
        <v>1899964</v>
      </c>
      <c r="K32" s="23">
        <f>+'[1]Table 3 Distribution W Adj'!I35</f>
        <v>22053209.33392795</v>
      </c>
      <c r="L32" s="23">
        <f t="shared" si="11"/>
        <v>883813.6660720482</v>
      </c>
      <c r="M32" s="16">
        <f t="shared" si="0"/>
        <v>883813.6660720482</v>
      </c>
      <c r="N32" s="16">
        <f t="shared" si="1"/>
        <v>0</v>
      </c>
      <c r="O32" s="16">
        <v>32165</v>
      </c>
      <c r="P32" s="136">
        <f t="shared" si="2"/>
        <v>0.75</v>
      </c>
      <c r="Q32" s="132">
        <v>377.33333337307</v>
      </c>
      <c r="R32" s="141">
        <f t="shared" si="3"/>
        <v>1538</v>
      </c>
      <c r="S32" s="346"/>
      <c r="T32" s="346"/>
      <c r="U32" s="347"/>
      <c r="V32" s="348">
        <f t="shared" si="4"/>
        <v>0</v>
      </c>
      <c r="W32" s="16">
        <f t="shared" si="5"/>
        <v>0</v>
      </c>
      <c r="X32" s="16" t="e">
        <f>#REF!</f>
        <v>#REF!</v>
      </c>
      <c r="Y32" s="23">
        <v>21369393</v>
      </c>
      <c r="Z32" s="16" t="e">
        <f>#REF!-Y32</f>
        <v>#REF!</v>
      </c>
      <c r="AA32" s="351" t="e">
        <f t="shared" si="6"/>
        <v>#REF!</v>
      </c>
      <c r="AB32" s="350"/>
      <c r="AC32" s="350"/>
      <c r="AD32" s="350"/>
      <c r="AE32" s="350"/>
    </row>
    <row r="33" spans="1:31" ht="12.75">
      <c r="A33" s="660">
        <v>28</v>
      </c>
      <c r="B33" s="660" t="s">
        <v>169</v>
      </c>
      <c r="C33" s="23">
        <f>'Table 3 Levels 1&amp;2'!AR36</f>
        <v>73287832</v>
      </c>
      <c r="D33" s="22">
        <v>527860</v>
      </c>
      <c r="E33" s="204">
        <v>0</v>
      </c>
      <c r="F33" s="22">
        <f t="shared" si="7"/>
        <v>73815692</v>
      </c>
      <c r="G33" s="22">
        <v>6099480</v>
      </c>
      <c r="H33" s="23">
        <f t="shared" si="8"/>
        <v>48795840</v>
      </c>
      <c r="I33" s="23">
        <f t="shared" si="9"/>
        <v>25019852</v>
      </c>
      <c r="J33" s="23">
        <f t="shared" si="10"/>
        <v>6254963</v>
      </c>
      <c r="K33" s="23">
        <f>+'[1]Table 3 Distribution W Adj'!I36</f>
        <v>67909366.36669172</v>
      </c>
      <c r="L33" s="23">
        <f t="shared" si="11"/>
        <v>5906325.6333082765</v>
      </c>
      <c r="M33" s="16">
        <f t="shared" si="0"/>
        <v>5906325.6333082765</v>
      </c>
      <c r="N33" s="16">
        <f t="shared" si="1"/>
        <v>0</v>
      </c>
      <c r="O33" s="16">
        <v>33128</v>
      </c>
      <c r="P33" s="136">
        <f t="shared" si="2"/>
        <v>0.75</v>
      </c>
      <c r="Q33" s="132">
        <v>1977.65285717696</v>
      </c>
      <c r="R33" s="141">
        <f t="shared" si="3"/>
        <v>1961</v>
      </c>
      <c r="S33" s="346"/>
      <c r="T33" s="346"/>
      <c r="U33" s="347"/>
      <c r="V33" s="348">
        <f t="shared" si="4"/>
        <v>0</v>
      </c>
      <c r="W33" s="16">
        <f t="shared" si="5"/>
        <v>0</v>
      </c>
      <c r="X33" s="16" t="e">
        <f>#REF!</f>
        <v>#REF!</v>
      </c>
      <c r="Y33" s="23">
        <v>71023879</v>
      </c>
      <c r="Z33" s="16" t="e">
        <f>#REF!-Y33</f>
        <v>#REF!</v>
      </c>
      <c r="AA33" s="351" t="e">
        <f t="shared" si="6"/>
        <v>#REF!</v>
      </c>
      <c r="AB33" s="350"/>
      <c r="AC33" s="350"/>
      <c r="AD33" s="350"/>
      <c r="AE33" s="350"/>
    </row>
    <row r="34" spans="1:31" ht="12.75">
      <c r="A34" s="660">
        <v>29</v>
      </c>
      <c r="B34" s="660" t="s">
        <v>170</v>
      </c>
      <c r="C34" s="23">
        <f>'Table 3 Levels 1&amp;2'!AR37</f>
        <v>54420970</v>
      </c>
      <c r="D34" s="22">
        <v>166392</v>
      </c>
      <c r="E34" s="204">
        <v>0</v>
      </c>
      <c r="F34" s="22">
        <f t="shared" si="7"/>
        <v>54587362</v>
      </c>
      <c r="G34" s="22">
        <v>4531905</v>
      </c>
      <c r="H34" s="23">
        <f t="shared" si="8"/>
        <v>36255240</v>
      </c>
      <c r="I34" s="23">
        <f t="shared" si="9"/>
        <v>18332122</v>
      </c>
      <c r="J34" s="23">
        <f t="shared" si="10"/>
        <v>4583031</v>
      </c>
      <c r="K34" s="23">
        <f>+'[1]Table 3 Distribution W Adj'!I37</f>
        <v>51211531.70026371</v>
      </c>
      <c r="L34" s="23">
        <f t="shared" si="11"/>
        <v>3375830.299736291</v>
      </c>
      <c r="M34" s="16">
        <f t="shared" si="0"/>
        <v>3375830.299736291</v>
      </c>
      <c r="N34" s="16">
        <f t="shared" si="1"/>
        <v>0</v>
      </c>
      <c r="O34" s="16">
        <v>29849</v>
      </c>
      <c r="P34" s="136">
        <f t="shared" si="2"/>
        <v>0.75</v>
      </c>
      <c r="Q34" s="132">
        <v>1212</v>
      </c>
      <c r="R34" s="141">
        <f t="shared" si="3"/>
        <v>1829</v>
      </c>
      <c r="S34" s="346"/>
      <c r="T34" s="346"/>
      <c r="U34" s="347"/>
      <c r="V34" s="348">
        <f t="shared" si="4"/>
        <v>0</v>
      </c>
      <c r="W34" s="16">
        <f t="shared" si="5"/>
        <v>0</v>
      </c>
      <c r="X34" s="16" t="e">
        <f>#REF!</f>
        <v>#REF!</v>
      </c>
      <c r="Y34" s="23">
        <v>51477139</v>
      </c>
      <c r="Z34" s="16" t="e">
        <f>#REF!-Y34</f>
        <v>#REF!</v>
      </c>
      <c r="AA34" s="351" t="e">
        <f t="shared" si="6"/>
        <v>#REF!</v>
      </c>
      <c r="AB34" s="350"/>
      <c r="AC34" s="350"/>
      <c r="AD34" s="350"/>
      <c r="AE34" s="350"/>
    </row>
    <row r="35" spans="1:31" ht="12.75">
      <c r="A35" s="661">
        <v>30</v>
      </c>
      <c r="B35" s="661" t="s">
        <v>171</v>
      </c>
      <c r="C35" s="24">
        <f>'Table 3 Levels 1&amp;2'!AR38</f>
        <v>10238857</v>
      </c>
      <c r="D35" s="662">
        <v>5263</v>
      </c>
      <c r="E35" s="733">
        <v>0</v>
      </c>
      <c r="F35" s="369">
        <f t="shared" si="7"/>
        <v>10244120</v>
      </c>
      <c r="G35" s="369">
        <v>853238</v>
      </c>
      <c r="H35" s="434">
        <f t="shared" si="8"/>
        <v>6825904</v>
      </c>
      <c r="I35" s="24">
        <f t="shared" si="9"/>
        <v>3418216</v>
      </c>
      <c r="J35" s="434">
        <f t="shared" si="10"/>
        <v>854554</v>
      </c>
      <c r="K35" s="434">
        <f>+'[1]Table 3 Distribution W Adj'!I38</f>
        <v>9872349.593605353</v>
      </c>
      <c r="L35" s="434">
        <f t="shared" si="11"/>
        <v>371770.40639464743</v>
      </c>
      <c r="M35" s="19">
        <f t="shared" si="0"/>
        <v>371770.40639464743</v>
      </c>
      <c r="N35" s="19">
        <f t="shared" si="1"/>
        <v>0</v>
      </c>
      <c r="O35" s="19">
        <v>27657</v>
      </c>
      <c r="P35" s="137">
        <f t="shared" si="2"/>
        <v>0.75</v>
      </c>
      <c r="Q35" s="133">
        <v>182</v>
      </c>
      <c r="R35" s="142">
        <f t="shared" si="3"/>
        <v>1342</v>
      </c>
      <c r="S35" s="346"/>
      <c r="T35" s="346"/>
      <c r="U35" s="347"/>
      <c r="V35" s="352">
        <f t="shared" si="4"/>
        <v>0</v>
      </c>
      <c r="W35" s="19">
        <f t="shared" si="5"/>
        <v>0</v>
      </c>
      <c r="X35" s="19" t="e">
        <f>#REF!</f>
        <v>#REF!</v>
      </c>
      <c r="Y35" s="24">
        <v>9046407</v>
      </c>
      <c r="Z35" s="19" t="e">
        <f>#REF!-Y35</f>
        <v>#REF!</v>
      </c>
      <c r="AA35" s="353" t="e">
        <f t="shared" si="6"/>
        <v>#REF!</v>
      </c>
      <c r="AB35" s="350"/>
      <c r="AC35" s="350"/>
      <c r="AD35" s="350"/>
      <c r="AE35" s="350"/>
    </row>
    <row r="36" spans="1:31" ht="12.75">
      <c r="A36" s="660">
        <v>31</v>
      </c>
      <c r="B36" s="660" t="s">
        <v>172</v>
      </c>
      <c r="C36" s="23">
        <f>'Table 3 Levels 1&amp;2'!AR39</f>
        <v>21266712</v>
      </c>
      <c r="D36" s="22">
        <v>69977</v>
      </c>
      <c r="E36" s="204">
        <v>0</v>
      </c>
      <c r="F36" s="22">
        <f t="shared" si="7"/>
        <v>21336689</v>
      </c>
      <c r="G36" s="22">
        <v>1771631</v>
      </c>
      <c r="H36" s="23">
        <f t="shared" si="8"/>
        <v>14173048</v>
      </c>
      <c r="I36" s="23">
        <f t="shared" si="9"/>
        <v>7163641</v>
      </c>
      <c r="J36" s="23">
        <f t="shared" si="10"/>
        <v>1790910</v>
      </c>
      <c r="K36" s="23">
        <f>+'[1]Table 3 Distribution W Adj'!I39</f>
        <v>20204683.24463113</v>
      </c>
      <c r="L36" s="23">
        <f t="shared" si="11"/>
        <v>1132005.7553688698</v>
      </c>
      <c r="M36" s="16">
        <f t="shared" si="0"/>
        <v>1132005.7553688698</v>
      </c>
      <c r="N36" s="16">
        <f t="shared" si="1"/>
        <v>0</v>
      </c>
      <c r="O36" s="16">
        <v>29806</v>
      </c>
      <c r="P36" s="136">
        <f t="shared" si="2"/>
        <v>0.75</v>
      </c>
      <c r="Q36" s="132">
        <v>466.683333277702</v>
      </c>
      <c r="R36" s="141">
        <f t="shared" si="3"/>
        <v>1593</v>
      </c>
      <c r="S36" s="346"/>
      <c r="T36" s="346"/>
      <c r="U36" s="347"/>
      <c r="V36" s="348">
        <f t="shared" si="4"/>
        <v>0</v>
      </c>
      <c r="W36" s="16">
        <f t="shared" si="5"/>
        <v>0</v>
      </c>
      <c r="X36" s="16" t="e">
        <f>#REF!</f>
        <v>#REF!</v>
      </c>
      <c r="Y36" s="23">
        <v>18672898</v>
      </c>
      <c r="Z36" s="16" t="e">
        <f>#REF!-Y36</f>
        <v>#REF!</v>
      </c>
      <c r="AA36" s="351" t="e">
        <f t="shared" si="6"/>
        <v>#REF!</v>
      </c>
      <c r="AB36" s="350"/>
      <c r="AC36" s="350"/>
      <c r="AD36" s="350"/>
      <c r="AE36" s="350"/>
    </row>
    <row r="37" spans="1:31" ht="12.75">
      <c r="A37" s="660">
        <v>32</v>
      </c>
      <c r="B37" s="660" t="s">
        <v>173</v>
      </c>
      <c r="C37" s="23">
        <f>'Table 3 Levels 1&amp;2'!AR40</f>
        <v>76561270</v>
      </c>
      <c r="D37" s="22">
        <v>0</v>
      </c>
      <c r="E37" s="204">
        <v>-529206</v>
      </c>
      <c r="F37" s="22">
        <f t="shared" si="7"/>
        <v>76032064</v>
      </c>
      <c r="G37" s="22">
        <v>6401927</v>
      </c>
      <c r="H37" s="23">
        <f t="shared" si="8"/>
        <v>51215416</v>
      </c>
      <c r="I37" s="23">
        <f t="shared" si="9"/>
        <v>24816648</v>
      </c>
      <c r="J37" s="23">
        <f t="shared" si="10"/>
        <v>6204162</v>
      </c>
      <c r="K37" s="23">
        <f>+'[1]Table 3 Distribution W Adj'!I40</f>
        <v>72833407.58428632</v>
      </c>
      <c r="L37" s="23">
        <f t="shared" si="11"/>
        <v>3198656.415713683</v>
      </c>
      <c r="M37" s="16">
        <f t="shared" si="0"/>
        <v>3198656.415713683</v>
      </c>
      <c r="N37" s="16">
        <f t="shared" si="1"/>
        <v>0</v>
      </c>
      <c r="O37" s="16">
        <v>33838</v>
      </c>
      <c r="P37" s="136">
        <f t="shared" si="2"/>
        <v>0.75</v>
      </c>
      <c r="Q37" s="132">
        <v>1217</v>
      </c>
      <c r="R37" s="141">
        <f t="shared" si="3"/>
        <v>1726</v>
      </c>
      <c r="S37" s="346"/>
      <c r="T37" s="346"/>
      <c r="U37" s="347"/>
      <c r="V37" s="348">
        <f t="shared" si="4"/>
        <v>0</v>
      </c>
      <c r="W37" s="16">
        <f t="shared" si="5"/>
        <v>0</v>
      </c>
      <c r="X37" s="16" t="e">
        <f>#REF!</f>
        <v>#REF!</v>
      </c>
      <c r="Y37" s="23">
        <v>69971512</v>
      </c>
      <c r="Z37" s="16" t="e">
        <f>#REF!-Y37</f>
        <v>#REF!</v>
      </c>
      <c r="AA37" s="351" t="e">
        <f t="shared" si="6"/>
        <v>#REF!</v>
      </c>
      <c r="AB37" s="350"/>
      <c r="AC37" s="350"/>
      <c r="AD37" s="350"/>
      <c r="AE37" s="350"/>
    </row>
    <row r="38" spans="1:31" ht="12.75">
      <c r="A38" s="660">
        <v>33</v>
      </c>
      <c r="B38" s="660" t="s">
        <v>174</v>
      </c>
      <c r="C38" s="23">
        <f>'Table 3 Levels 1&amp;2'!AR41</f>
        <v>9353010</v>
      </c>
      <c r="D38" s="22">
        <v>0</v>
      </c>
      <c r="E38" s="204">
        <v>-46652</v>
      </c>
      <c r="F38" s="22">
        <f t="shared" si="7"/>
        <v>9306358</v>
      </c>
      <c r="G38" s="22">
        <v>794845</v>
      </c>
      <c r="H38" s="23">
        <f t="shared" si="8"/>
        <v>6358760</v>
      </c>
      <c r="I38" s="23">
        <f t="shared" si="9"/>
        <v>2947598</v>
      </c>
      <c r="J38" s="23">
        <f t="shared" si="10"/>
        <v>736900</v>
      </c>
      <c r="K38" s="23">
        <f>+'[1]Table 3 Distribution W Adj'!I41</f>
        <v>9083116.34266083</v>
      </c>
      <c r="L38" s="23">
        <f t="shared" si="11"/>
        <v>223241.65733917058</v>
      </c>
      <c r="M38" s="16">
        <f aca="true" t="shared" si="12" ref="M38:M69">IF(L38&gt;0,L38,0)</f>
        <v>223241.65733917058</v>
      </c>
      <c r="N38" s="16">
        <f aca="true" t="shared" si="13" ref="N38:N71">IF(L38&lt;0,L38,0)</f>
        <v>0</v>
      </c>
      <c r="O38" s="16">
        <v>27167</v>
      </c>
      <c r="P38" s="136">
        <f aca="true" t="shared" si="14" ref="P38:P69">IF(O38&gt;$P$5,0.5,0.75)</f>
        <v>0.75</v>
      </c>
      <c r="Q38" s="132">
        <v>162</v>
      </c>
      <c r="R38" s="141">
        <f aca="true" t="shared" si="15" ref="R38:R69">ROUND(M38*P38/1.142/Q38,0)</f>
        <v>905</v>
      </c>
      <c r="S38" s="346"/>
      <c r="T38" s="346"/>
      <c r="U38" s="347"/>
      <c r="V38" s="348">
        <f aca="true" t="shared" si="16" ref="V38:V71">ROUND(S38/8,0)</f>
        <v>0</v>
      </c>
      <c r="W38" s="16">
        <f aca="true" t="shared" si="17" ref="W38:W69">U38-V38</f>
        <v>0</v>
      </c>
      <c r="X38" s="16" t="e">
        <f>#REF!</f>
        <v>#REF!</v>
      </c>
      <c r="Y38" s="23">
        <v>9026689</v>
      </c>
      <c r="Z38" s="16" t="e">
        <f>#REF!-Y38</f>
        <v>#REF!</v>
      </c>
      <c r="AA38" s="351" t="e">
        <f aca="true" t="shared" si="18" ref="AA38:AA69">Z38/Y38</f>
        <v>#REF!</v>
      </c>
      <c r="AB38" s="350"/>
      <c r="AC38" s="350"/>
      <c r="AD38" s="350"/>
      <c r="AE38" s="350"/>
    </row>
    <row r="39" spans="1:31" ht="12.75">
      <c r="A39" s="660">
        <v>34</v>
      </c>
      <c r="B39" s="660" t="s">
        <v>175</v>
      </c>
      <c r="C39" s="23">
        <f>'Table 3 Levels 1&amp;2'!AR42</f>
        <v>19376544</v>
      </c>
      <c r="D39" s="22">
        <v>0</v>
      </c>
      <c r="E39" s="204">
        <v>-1033</v>
      </c>
      <c r="F39" s="22">
        <f t="shared" si="7"/>
        <v>19375511</v>
      </c>
      <c r="G39" s="22">
        <v>1614712</v>
      </c>
      <c r="H39" s="23">
        <f t="shared" si="8"/>
        <v>12917696</v>
      </c>
      <c r="I39" s="23">
        <f t="shared" si="9"/>
        <v>6457815</v>
      </c>
      <c r="J39" s="23">
        <f t="shared" si="10"/>
        <v>1614454</v>
      </c>
      <c r="K39" s="23">
        <f>+'[1]Table 3 Distribution W Adj'!I42</f>
        <v>18529068.923401184</v>
      </c>
      <c r="L39" s="23">
        <f t="shared" si="11"/>
        <v>846442.0765988156</v>
      </c>
      <c r="M39" s="16">
        <f t="shared" si="12"/>
        <v>846442.0765988156</v>
      </c>
      <c r="N39" s="16">
        <f t="shared" si="13"/>
        <v>0</v>
      </c>
      <c r="O39" s="16">
        <v>27526</v>
      </c>
      <c r="P39" s="136">
        <f t="shared" si="14"/>
        <v>0.75</v>
      </c>
      <c r="Q39" s="132">
        <v>382.975238084793</v>
      </c>
      <c r="R39" s="141">
        <f t="shared" si="15"/>
        <v>1452</v>
      </c>
      <c r="S39" s="346"/>
      <c r="T39" s="346"/>
      <c r="U39" s="347"/>
      <c r="V39" s="348">
        <f t="shared" si="16"/>
        <v>0</v>
      </c>
      <c r="W39" s="16">
        <f t="shared" si="17"/>
        <v>0</v>
      </c>
      <c r="X39" s="16" t="e">
        <f>#REF!</f>
        <v>#REF!</v>
      </c>
      <c r="Y39" s="23">
        <v>18434881</v>
      </c>
      <c r="Z39" s="16" t="e">
        <f>#REF!-Y39</f>
        <v>#REF!</v>
      </c>
      <c r="AA39" s="351" t="e">
        <f t="shared" si="18"/>
        <v>#REF!</v>
      </c>
      <c r="AB39" s="350"/>
      <c r="AC39" s="350"/>
      <c r="AD39" s="350"/>
      <c r="AE39" s="350"/>
    </row>
    <row r="40" spans="1:31" ht="12.75">
      <c r="A40" s="661">
        <v>35</v>
      </c>
      <c r="B40" s="661" t="s">
        <v>176</v>
      </c>
      <c r="C40" s="24">
        <f>'Table 3 Levels 1&amp;2'!AR43</f>
        <v>24108112</v>
      </c>
      <c r="D40" s="662">
        <v>0</v>
      </c>
      <c r="E40" s="733">
        <v>-8844</v>
      </c>
      <c r="F40" s="369">
        <f t="shared" si="7"/>
        <v>24099268</v>
      </c>
      <c r="G40" s="369">
        <v>2009009</v>
      </c>
      <c r="H40" s="434">
        <f t="shared" si="8"/>
        <v>16072072</v>
      </c>
      <c r="I40" s="24">
        <f t="shared" si="9"/>
        <v>8027196</v>
      </c>
      <c r="J40" s="434">
        <f t="shared" si="10"/>
        <v>2006799</v>
      </c>
      <c r="K40" s="434">
        <f>+'[1]Table 3 Distribution W Adj'!I43</f>
        <v>23072355.330111675</v>
      </c>
      <c r="L40" s="434">
        <f t="shared" si="11"/>
        <v>1026912.669888325</v>
      </c>
      <c r="M40" s="19">
        <f t="shared" si="12"/>
        <v>1026912.669888325</v>
      </c>
      <c r="N40" s="19">
        <f t="shared" si="13"/>
        <v>0</v>
      </c>
      <c r="O40" s="19">
        <v>29307</v>
      </c>
      <c r="P40" s="137">
        <f t="shared" si="14"/>
        <v>0.75</v>
      </c>
      <c r="Q40" s="133">
        <v>463</v>
      </c>
      <c r="R40" s="142">
        <f t="shared" si="15"/>
        <v>1457</v>
      </c>
      <c r="S40" s="346"/>
      <c r="T40" s="346"/>
      <c r="U40" s="347"/>
      <c r="V40" s="352">
        <f t="shared" si="16"/>
        <v>0</v>
      </c>
      <c r="W40" s="19">
        <f t="shared" si="17"/>
        <v>0</v>
      </c>
      <c r="X40" s="19" t="e">
        <f>#REF!</f>
        <v>#REF!</v>
      </c>
      <c r="Y40" s="24">
        <v>23178990</v>
      </c>
      <c r="Z40" s="19" t="e">
        <f>#REF!-Y40</f>
        <v>#REF!</v>
      </c>
      <c r="AA40" s="353" t="e">
        <f t="shared" si="18"/>
        <v>#REF!</v>
      </c>
      <c r="AB40" s="350"/>
      <c r="AC40" s="350"/>
      <c r="AD40" s="350"/>
      <c r="AE40" s="350"/>
    </row>
    <row r="41" spans="1:31" ht="12.75">
      <c r="A41" s="660">
        <v>36</v>
      </c>
      <c r="B41" s="660" t="s">
        <v>177</v>
      </c>
      <c r="C41" s="23">
        <f>'Table 3 Levels 1&amp;2'!AR44</f>
        <v>224205375</v>
      </c>
      <c r="D41" s="22">
        <v>0</v>
      </c>
      <c r="E41" s="204">
        <v>-3469889</v>
      </c>
      <c r="F41" s="22">
        <f t="shared" si="7"/>
        <v>220735486</v>
      </c>
      <c r="G41" s="22">
        <v>19283126</v>
      </c>
      <c r="H41" s="23">
        <f t="shared" si="8"/>
        <v>154265008</v>
      </c>
      <c r="I41" s="23">
        <f t="shared" si="9"/>
        <v>66470478</v>
      </c>
      <c r="J41" s="23">
        <f t="shared" si="10"/>
        <v>16617620</v>
      </c>
      <c r="K41" s="23">
        <f>+'[1]Table 3 Distribution W Adj'!I44</f>
        <v>218966736.9779548</v>
      </c>
      <c r="L41" s="23">
        <f t="shared" si="11"/>
        <v>1768749.022045195</v>
      </c>
      <c r="M41" s="16">
        <f t="shared" si="12"/>
        <v>1768749.022045195</v>
      </c>
      <c r="N41" s="16">
        <f t="shared" si="13"/>
        <v>0</v>
      </c>
      <c r="O41" s="16">
        <v>34680</v>
      </c>
      <c r="P41" s="136">
        <f t="shared" si="14"/>
        <v>0.75</v>
      </c>
      <c r="Q41" s="132">
        <v>5022.5</v>
      </c>
      <c r="R41" s="141">
        <f t="shared" si="15"/>
        <v>231</v>
      </c>
      <c r="S41" s="346"/>
      <c r="T41" s="346"/>
      <c r="U41" s="347"/>
      <c r="V41" s="348">
        <f t="shared" si="16"/>
        <v>0</v>
      </c>
      <c r="W41" s="16">
        <f t="shared" si="17"/>
        <v>0</v>
      </c>
      <c r="X41" s="16" t="e">
        <f>#REF!</f>
        <v>#REF!</v>
      </c>
      <c r="Y41" s="23">
        <v>224388485</v>
      </c>
      <c r="Z41" s="16" t="e">
        <f>#REF!-Y41</f>
        <v>#REF!</v>
      </c>
      <c r="AA41" s="351" t="e">
        <f t="shared" si="18"/>
        <v>#REF!</v>
      </c>
      <c r="AB41" s="350"/>
      <c r="AC41" s="350"/>
      <c r="AD41" s="350"/>
      <c r="AE41" s="350"/>
    </row>
    <row r="42" spans="1:31" ht="12.75">
      <c r="A42" s="660">
        <v>37</v>
      </c>
      <c r="B42" s="660" t="s">
        <v>178</v>
      </c>
      <c r="C42" s="23">
        <f>'Table 3 Levels 1&amp;2'!AR45</f>
        <v>68735983</v>
      </c>
      <c r="D42" s="22">
        <v>0</v>
      </c>
      <c r="E42" s="204">
        <v>-531349</v>
      </c>
      <c r="F42" s="22">
        <f t="shared" si="7"/>
        <v>68204634</v>
      </c>
      <c r="G42" s="22">
        <v>5624711</v>
      </c>
      <c r="H42" s="23">
        <f t="shared" si="8"/>
        <v>44997688</v>
      </c>
      <c r="I42" s="23">
        <f t="shared" si="9"/>
        <v>23206946</v>
      </c>
      <c r="J42" s="23">
        <f t="shared" si="10"/>
        <v>5801737</v>
      </c>
      <c r="K42" s="23">
        <f>+'[1]Table 3 Distribution W Adj'!I45</f>
        <v>64760395.19005987</v>
      </c>
      <c r="L42" s="23">
        <f t="shared" si="11"/>
        <v>3444238.8099401295</v>
      </c>
      <c r="M42" s="16">
        <f t="shared" si="12"/>
        <v>3444238.8099401295</v>
      </c>
      <c r="N42" s="16">
        <f t="shared" si="13"/>
        <v>0</v>
      </c>
      <c r="O42" s="16">
        <v>33173</v>
      </c>
      <c r="P42" s="136">
        <f t="shared" si="14"/>
        <v>0.75</v>
      </c>
      <c r="Q42" s="132">
        <v>1180.87952379882</v>
      </c>
      <c r="R42" s="141">
        <f t="shared" si="15"/>
        <v>1916</v>
      </c>
      <c r="S42" s="346"/>
      <c r="T42" s="346"/>
      <c r="U42" s="347"/>
      <c r="V42" s="348">
        <f t="shared" si="16"/>
        <v>0</v>
      </c>
      <c r="W42" s="16">
        <f t="shared" si="17"/>
        <v>0</v>
      </c>
      <c r="X42" s="16" t="e">
        <f>#REF!</f>
        <v>#REF!</v>
      </c>
      <c r="Y42" s="23">
        <v>58405226</v>
      </c>
      <c r="Z42" s="16" t="e">
        <f>#REF!-Y42</f>
        <v>#REF!</v>
      </c>
      <c r="AA42" s="351" t="e">
        <f t="shared" si="18"/>
        <v>#REF!</v>
      </c>
      <c r="AB42" s="350"/>
      <c r="AC42" s="350"/>
      <c r="AD42" s="350"/>
      <c r="AE42" s="350"/>
    </row>
    <row r="43" spans="1:31" ht="12.75">
      <c r="A43" s="660">
        <v>38</v>
      </c>
      <c r="B43" s="660" t="s">
        <v>179</v>
      </c>
      <c r="C43" s="23">
        <f>'Table 3 Levels 1&amp;2'!AR46</f>
        <v>10661568</v>
      </c>
      <c r="D43" s="22">
        <v>0</v>
      </c>
      <c r="E43" s="204">
        <v>-12588</v>
      </c>
      <c r="F43" s="22">
        <f t="shared" si="7"/>
        <v>10648980</v>
      </c>
      <c r="G43" s="22">
        <v>885671</v>
      </c>
      <c r="H43" s="23">
        <f t="shared" si="8"/>
        <v>7085368</v>
      </c>
      <c r="I43" s="23">
        <f t="shared" si="9"/>
        <v>3563612</v>
      </c>
      <c r="J43" s="23">
        <f t="shared" si="10"/>
        <v>890903</v>
      </c>
      <c r="K43" s="23">
        <f>+'[1]Table 3 Distribution W Adj'!I46</f>
        <v>9907130.805625504</v>
      </c>
      <c r="L43" s="23">
        <f t="shared" si="11"/>
        <v>741849.1943744961</v>
      </c>
      <c r="M43" s="16">
        <f t="shared" si="12"/>
        <v>741849.1943744961</v>
      </c>
      <c r="N43" s="16">
        <f t="shared" si="13"/>
        <v>0</v>
      </c>
      <c r="O43" s="16">
        <v>31592</v>
      </c>
      <c r="P43" s="136">
        <f t="shared" si="14"/>
        <v>0.75</v>
      </c>
      <c r="Q43" s="132">
        <v>331.807619094849</v>
      </c>
      <c r="R43" s="141">
        <f t="shared" si="15"/>
        <v>1468</v>
      </c>
      <c r="S43" s="346"/>
      <c r="T43" s="346"/>
      <c r="U43" s="347"/>
      <c r="V43" s="348">
        <f t="shared" si="16"/>
        <v>0</v>
      </c>
      <c r="W43" s="16">
        <f t="shared" si="17"/>
        <v>0</v>
      </c>
      <c r="X43" s="16" t="e">
        <f>#REF!</f>
        <v>#REF!</v>
      </c>
      <c r="Y43" s="23">
        <v>10208618</v>
      </c>
      <c r="Z43" s="16" t="e">
        <f>#REF!-Y43</f>
        <v>#REF!</v>
      </c>
      <c r="AA43" s="351" t="e">
        <f t="shared" si="18"/>
        <v>#REF!</v>
      </c>
      <c r="AB43" s="350"/>
      <c r="AC43" s="350"/>
      <c r="AD43" s="350"/>
      <c r="AE43" s="350"/>
    </row>
    <row r="44" spans="1:31" ht="12.75">
      <c r="A44" s="660">
        <v>39</v>
      </c>
      <c r="B44" s="660" t="s">
        <v>180</v>
      </c>
      <c r="C44" s="23">
        <f>'Table 3 Levels 1&amp;2'!AR47</f>
        <v>9106538</v>
      </c>
      <c r="D44" s="22">
        <v>0</v>
      </c>
      <c r="E44" s="204">
        <v>-57901</v>
      </c>
      <c r="F44" s="22">
        <f t="shared" si="7"/>
        <v>9048637</v>
      </c>
      <c r="G44" s="22">
        <v>759592</v>
      </c>
      <c r="H44" s="23">
        <f t="shared" si="8"/>
        <v>6076736</v>
      </c>
      <c r="I44" s="23">
        <f t="shared" si="9"/>
        <v>2971901</v>
      </c>
      <c r="J44" s="23">
        <f t="shared" si="10"/>
        <v>742975</v>
      </c>
      <c r="K44" s="23">
        <f>+'[1]Table 3 Distribution W Adj'!I47</f>
        <v>8650612.529941406</v>
      </c>
      <c r="L44" s="23">
        <f t="shared" si="11"/>
        <v>398024.4700585939</v>
      </c>
      <c r="M44" s="16">
        <f t="shared" si="12"/>
        <v>398024.4700585939</v>
      </c>
      <c r="N44" s="16">
        <f t="shared" si="13"/>
        <v>0</v>
      </c>
      <c r="O44" s="16">
        <v>28119</v>
      </c>
      <c r="P44" s="136">
        <f t="shared" si="14"/>
        <v>0.75</v>
      </c>
      <c r="Q44" s="132">
        <v>207</v>
      </c>
      <c r="R44" s="141">
        <f t="shared" si="15"/>
        <v>1263</v>
      </c>
      <c r="S44" s="346"/>
      <c r="T44" s="346"/>
      <c r="U44" s="347"/>
      <c r="V44" s="348">
        <f t="shared" si="16"/>
        <v>0</v>
      </c>
      <c r="W44" s="16">
        <f t="shared" si="17"/>
        <v>0</v>
      </c>
      <c r="X44" s="16" t="e">
        <f>#REF!</f>
        <v>#REF!</v>
      </c>
      <c r="Y44" s="23">
        <v>8754881</v>
      </c>
      <c r="Z44" s="16" t="e">
        <f>#REF!-Y44</f>
        <v>#REF!</v>
      </c>
      <c r="AA44" s="351" t="e">
        <f t="shared" si="18"/>
        <v>#REF!</v>
      </c>
      <c r="AB44" s="350"/>
      <c r="AC44" s="350"/>
      <c r="AD44" s="350"/>
      <c r="AE44" s="350"/>
    </row>
    <row r="45" spans="1:31" ht="12.75">
      <c r="A45" s="661">
        <v>40</v>
      </c>
      <c r="B45" s="661" t="s">
        <v>181</v>
      </c>
      <c r="C45" s="24">
        <f>'Table 3 Levels 1&amp;2'!AR48</f>
        <v>79645380</v>
      </c>
      <c r="D45" s="662">
        <v>0</v>
      </c>
      <c r="E45" s="733">
        <v>-364846</v>
      </c>
      <c r="F45" s="369">
        <f t="shared" si="7"/>
        <v>79280534</v>
      </c>
      <c r="G45" s="369">
        <v>6678131</v>
      </c>
      <c r="H45" s="434">
        <f t="shared" si="8"/>
        <v>53425048</v>
      </c>
      <c r="I45" s="24">
        <f t="shared" si="9"/>
        <v>25855486</v>
      </c>
      <c r="J45" s="434">
        <f t="shared" si="10"/>
        <v>6463872</v>
      </c>
      <c r="K45" s="434">
        <f>+'[1]Table 3 Distribution W Adj'!I48</f>
        <v>76506513.56550856</v>
      </c>
      <c r="L45" s="434">
        <f t="shared" si="11"/>
        <v>2774020.4344914407</v>
      </c>
      <c r="M45" s="19">
        <f t="shared" si="12"/>
        <v>2774020.4344914407</v>
      </c>
      <c r="N45" s="19">
        <f t="shared" si="13"/>
        <v>0</v>
      </c>
      <c r="O45" s="19">
        <v>29592</v>
      </c>
      <c r="P45" s="137">
        <f t="shared" si="14"/>
        <v>0.75</v>
      </c>
      <c r="Q45" s="133">
        <v>1613.93333351612</v>
      </c>
      <c r="R45" s="142">
        <f t="shared" si="15"/>
        <v>1129</v>
      </c>
      <c r="S45" s="346"/>
      <c r="T45" s="346"/>
      <c r="U45" s="347"/>
      <c r="V45" s="352">
        <f t="shared" si="16"/>
        <v>0</v>
      </c>
      <c r="W45" s="19">
        <f t="shared" si="17"/>
        <v>0</v>
      </c>
      <c r="X45" s="19" t="e">
        <f>#REF!</f>
        <v>#REF!</v>
      </c>
      <c r="Y45" s="24">
        <v>73122734</v>
      </c>
      <c r="Z45" s="19" t="e">
        <f>#REF!-Y45</f>
        <v>#REF!</v>
      </c>
      <c r="AA45" s="353" t="e">
        <f t="shared" si="18"/>
        <v>#REF!</v>
      </c>
      <c r="AB45" s="350"/>
      <c r="AC45" s="350"/>
      <c r="AD45" s="350"/>
      <c r="AE45" s="350"/>
    </row>
    <row r="46" spans="1:31" ht="12.75">
      <c r="A46" s="660">
        <v>41</v>
      </c>
      <c r="B46" s="660" t="s">
        <v>182</v>
      </c>
      <c r="C46" s="23">
        <f>'Table 3 Levels 1&amp;2'!AR49</f>
        <v>8674650</v>
      </c>
      <c r="D46" s="22">
        <v>5079</v>
      </c>
      <c r="E46" s="204">
        <v>0</v>
      </c>
      <c r="F46" s="22">
        <f t="shared" si="7"/>
        <v>8679729</v>
      </c>
      <c r="G46" s="22">
        <v>750187</v>
      </c>
      <c r="H46" s="23">
        <f t="shared" si="8"/>
        <v>6001496</v>
      </c>
      <c r="I46" s="23">
        <f t="shared" si="9"/>
        <v>2678233</v>
      </c>
      <c r="J46" s="23">
        <f t="shared" si="10"/>
        <v>669558</v>
      </c>
      <c r="K46" s="23">
        <f>+'[1]Table 3 Distribution W Adj'!I49</f>
        <v>8609936.445288356</v>
      </c>
      <c r="L46" s="23">
        <f t="shared" si="11"/>
        <v>69792.5547116436</v>
      </c>
      <c r="M46" s="16">
        <f t="shared" si="12"/>
        <v>69792.5547116436</v>
      </c>
      <c r="N46" s="16">
        <f t="shared" si="13"/>
        <v>0</v>
      </c>
      <c r="O46" s="16">
        <v>25463</v>
      </c>
      <c r="P46" s="136">
        <f t="shared" si="14"/>
        <v>0.75</v>
      </c>
      <c r="Q46" s="132">
        <v>179.752380973659</v>
      </c>
      <c r="R46" s="141">
        <f t="shared" si="15"/>
        <v>255</v>
      </c>
      <c r="S46" s="346"/>
      <c r="T46" s="346"/>
      <c r="U46" s="347"/>
      <c r="V46" s="348">
        <f t="shared" si="16"/>
        <v>0</v>
      </c>
      <c r="W46" s="16">
        <f t="shared" si="17"/>
        <v>0</v>
      </c>
      <c r="X46" s="16" t="e">
        <f>#REF!</f>
        <v>#REF!</v>
      </c>
      <c r="Y46" s="23">
        <v>7973359</v>
      </c>
      <c r="Z46" s="16" t="e">
        <f>#REF!-Y46</f>
        <v>#REF!</v>
      </c>
      <c r="AA46" s="351" t="e">
        <f t="shared" si="18"/>
        <v>#REF!</v>
      </c>
      <c r="AB46" s="350"/>
      <c r="AC46" s="350"/>
      <c r="AD46" s="350"/>
      <c r="AE46" s="350"/>
    </row>
    <row r="47" spans="1:31" ht="12.75">
      <c r="A47" s="660">
        <v>42</v>
      </c>
      <c r="B47" s="660" t="s">
        <v>183</v>
      </c>
      <c r="C47" s="23">
        <f>'Table 3 Levels 1&amp;2'!AR50</f>
        <v>14971987</v>
      </c>
      <c r="D47" s="22">
        <v>166717</v>
      </c>
      <c r="E47" s="204">
        <v>0</v>
      </c>
      <c r="F47" s="22">
        <f t="shared" si="7"/>
        <v>15138704</v>
      </c>
      <c r="G47" s="22">
        <v>1248852</v>
      </c>
      <c r="H47" s="23">
        <f t="shared" si="8"/>
        <v>9990816</v>
      </c>
      <c r="I47" s="23">
        <f t="shared" si="9"/>
        <v>5147888</v>
      </c>
      <c r="J47" s="23">
        <f t="shared" si="10"/>
        <v>1286972</v>
      </c>
      <c r="K47" s="23">
        <f>+'[1]Table 3 Distribution W Adj'!I50</f>
        <v>14380323.436564658</v>
      </c>
      <c r="L47" s="23">
        <f t="shared" si="11"/>
        <v>758380.5634353422</v>
      </c>
      <c r="M47" s="16">
        <f t="shared" si="12"/>
        <v>758380.5634353422</v>
      </c>
      <c r="N47" s="16">
        <f t="shared" si="13"/>
        <v>0</v>
      </c>
      <c r="O47" s="16">
        <v>26846</v>
      </c>
      <c r="P47" s="136">
        <f t="shared" si="14"/>
        <v>0.75</v>
      </c>
      <c r="Q47" s="132">
        <v>296.666666686535</v>
      </c>
      <c r="R47" s="141">
        <f t="shared" si="15"/>
        <v>1679</v>
      </c>
      <c r="S47" s="346"/>
      <c r="T47" s="346"/>
      <c r="U47" s="347"/>
      <c r="V47" s="348">
        <f t="shared" si="16"/>
        <v>0</v>
      </c>
      <c r="W47" s="16">
        <f t="shared" si="17"/>
        <v>0</v>
      </c>
      <c r="X47" s="16" t="e">
        <f>#REF!</f>
        <v>#REF!</v>
      </c>
      <c r="Y47" s="23">
        <v>14488449</v>
      </c>
      <c r="Z47" s="16" t="e">
        <f>#REF!-Y47</f>
        <v>#REF!</v>
      </c>
      <c r="AA47" s="351" t="e">
        <f t="shared" si="18"/>
        <v>#REF!</v>
      </c>
      <c r="AB47" s="350"/>
      <c r="AC47" s="350"/>
      <c r="AD47" s="350"/>
      <c r="AE47" s="350"/>
    </row>
    <row r="48" spans="1:31" ht="12.75">
      <c r="A48" s="660">
        <v>43</v>
      </c>
      <c r="B48" s="660" t="s">
        <v>184</v>
      </c>
      <c r="C48" s="23">
        <f>'Table 3 Levels 1&amp;2'!AR51</f>
        <v>16167826</v>
      </c>
      <c r="D48" s="22">
        <v>13937</v>
      </c>
      <c r="E48" s="204">
        <v>0</v>
      </c>
      <c r="F48" s="22">
        <f t="shared" si="7"/>
        <v>16181763</v>
      </c>
      <c r="G48" s="22">
        <v>1347319</v>
      </c>
      <c r="H48" s="23">
        <f t="shared" si="8"/>
        <v>10778552</v>
      </c>
      <c r="I48" s="23">
        <f t="shared" si="9"/>
        <v>5403211</v>
      </c>
      <c r="J48" s="23">
        <f t="shared" si="10"/>
        <v>1350803</v>
      </c>
      <c r="K48" s="23">
        <f>+'[1]Table 3 Distribution W Adj'!I51</f>
        <v>15415849.326972088</v>
      </c>
      <c r="L48" s="23">
        <f t="shared" si="11"/>
        <v>765913.6730279122</v>
      </c>
      <c r="M48" s="16">
        <f t="shared" si="12"/>
        <v>765913.6730279122</v>
      </c>
      <c r="N48" s="16">
        <f t="shared" si="13"/>
        <v>0</v>
      </c>
      <c r="O48" s="16">
        <v>29383</v>
      </c>
      <c r="P48" s="136">
        <f t="shared" si="14"/>
        <v>0.75</v>
      </c>
      <c r="Q48" s="132">
        <v>300</v>
      </c>
      <c r="R48" s="141">
        <f t="shared" si="15"/>
        <v>1677</v>
      </c>
      <c r="S48" s="346"/>
      <c r="T48" s="346"/>
      <c r="U48" s="347"/>
      <c r="V48" s="348">
        <f t="shared" si="16"/>
        <v>0</v>
      </c>
      <c r="W48" s="16">
        <f t="shared" si="17"/>
        <v>0</v>
      </c>
      <c r="X48" s="16" t="e">
        <f>#REF!</f>
        <v>#REF!</v>
      </c>
      <c r="Y48" s="23">
        <v>15055859</v>
      </c>
      <c r="Z48" s="16" t="e">
        <f>#REF!-Y48</f>
        <v>#REF!</v>
      </c>
      <c r="AA48" s="351" t="e">
        <f t="shared" si="18"/>
        <v>#REF!</v>
      </c>
      <c r="AB48" s="350"/>
      <c r="AC48" s="350"/>
      <c r="AD48" s="350"/>
      <c r="AE48" s="350"/>
    </row>
    <row r="49" spans="1:31" ht="12.75">
      <c r="A49" s="660">
        <v>44</v>
      </c>
      <c r="B49" s="660" t="s">
        <v>185</v>
      </c>
      <c r="C49" s="23">
        <f>'Table 3 Levels 1&amp;2'!AR52</f>
        <v>26399374</v>
      </c>
      <c r="D49" s="22">
        <v>131001</v>
      </c>
      <c r="E49" s="204">
        <v>0</v>
      </c>
      <c r="F49" s="22">
        <f t="shared" si="7"/>
        <v>26530375</v>
      </c>
      <c r="G49" s="22">
        <v>2198662</v>
      </c>
      <c r="H49" s="23">
        <f t="shared" si="8"/>
        <v>17589296</v>
      </c>
      <c r="I49" s="23">
        <f t="shared" si="9"/>
        <v>8941079</v>
      </c>
      <c r="J49" s="23">
        <f t="shared" si="10"/>
        <v>2235270</v>
      </c>
      <c r="K49" s="23">
        <f>+'[1]Table 3 Distribution W Adj'!I52</f>
        <v>25010614.15657356</v>
      </c>
      <c r="L49" s="23">
        <f t="shared" si="11"/>
        <v>1519760.84342644</v>
      </c>
      <c r="M49" s="16">
        <f t="shared" si="12"/>
        <v>1519760.84342644</v>
      </c>
      <c r="N49" s="16">
        <f t="shared" si="13"/>
        <v>0</v>
      </c>
      <c r="O49" s="16">
        <v>30518</v>
      </c>
      <c r="P49" s="136">
        <f t="shared" si="14"/>
        <v>0.75</v>
      </c>
      <c r="Q49" s="132">
        <v>611.925714313984</v>
      </c>
      <c r="R49" s="141">
        <f t="shared" si="15"/>
        <v>1631</v>
      </c>
      <c r="S49" s="346"/>
      <c r="T49" s="346"/>
      <c r="U49" s="347"/>
      <c r="V49" s="348">
        <f t="shared" si="16"/>
        <v>0</v>
      </c>
      <c r="W49" s="16">
        <f t="shared" si="17"/>
        <v>0</v>
      </c>
      <c r="X49" s="16" t="e">
        <f>#REF!</f>
        <v>#REF!</v>
      </c>
      <c r="Y49" s="23">
        <v>25563237</v>
      </c>
      <c r="Z49" s="16" t="e">
        <f>#REF!-Y49</f>
        <v>#REF!</v>
      </c>
      <c r="AA49" s="351" t="e">
        <f t="shared" si="18"/>
        <v>#REF!</v>
      </c>
      <c r="AB49" s="350"/>
      <c r="AC49" s="350"/>
      <c r="AD49" s="350"/>
      <c r="AE49" s="350"/>
    </row>
    <row r="50" spans="1:31" ht="12.75">
      <c r="A50" s="661">
        <v>45</v>
      </c>
      <c r="B50" s="661" t="s">
        <v>186</v>
      </c>
      <c r="C50" s="24">
        <f>'Table 3 Levels 1&amp;2'!AR53</f>
        <v>23667721</v>
      </c>
      <c r="D50" s="662">
        <v>29342</v>
      </c>
      <c r="E50" s="733">
        <v>0</v>
      </c>
      <c r="F50" s="369">
        <f t="shared" si="7"/>
        <v>23697063</v>
      </c>
      <c r="G50" s="369">
        <v>1967597</v>
      </c>
      <c r="H50" s="434">
        <f t="shared" si="8"/>
        <v>15740776</v>
      </c>
      <c r="I50" s="24">
        <f t="shared" si="9"/>
        <v>7956287</v>
      </c>
      <c r="J50" s="434">
        <f t="shared" si="10"/>
        <v>1989072</v>
      </c>
      <c r="K50" s="434">
        <f>+'[1]Table 3 Distribution W Adj'!I53</f>
        <v>21618204.67587886</v>
      </c>
      <c r="L50" s="434">
        <f t="shared" si="11"/>
        <v>2078858.32412114</v>
      </c>
      <c r="M50" s="19">
        <f t="shared" si="12"/>
        <v>2078858.32412114</v>
      </c>
      <c r="N50" s="19">
        <f t="shared" si="13"/>
        <v>0</v>
      </c>
      <c r="O50" s="19">
        <v>35925</v>
      </c>
      <c r="P50" s="137">
        <f t="shared" si="14"/>
        <v>0.75</v>
      </c>
      <c r="Q50" s="133">
        <v>764.476428493857</v>
      </c>
      <c r="R50" s="142">
        <f t="shared" si="15"/>
        <v>1786</v>
      </c>
      <c r="S50" s="346"/>
      <c r="T50" s="346"/>
      <c r="U50" s="347"/>
      <c r="V50" s="352">
        <f t="shared" si="16"/>
        <v>0</v>
      </c>
      <c r="W50" s="19">
        <f t="shared" si="17"/>
        <v>0</v>
      </c>
      <c r="X50" s="19" t="e">
        <f>#REF!</f>
        <v>#REF!</v>
      </c>
      <c r="Y50" s="24">
        <v>21964873</v>
      </c>
      <c r="Z50" s="19" t="e">
        <f>#REF!-Y50</f>
        <v>#REF!</v>
      </c>
      <c r="AA50" s="353" t="e">
        <f t="shared" si="18"/>
        <v>#REF!</v>
      </c>
      <c r="AB50" s="350"/>
      <c r="AC50" s="350"/>
      <c r="AD50" s="350"/>
      <c r="AE50" s="350"/>
    </row>
    <row r="51" spans="1:31" ht="12.75">
      <c r="A51" s="660">
        <v>46</v>
      </c>
      <c r="B51" s="660" t="s">
        <v>187</v>
      </c>
      <c r="C51" s="23">
        <f>'Table 3 Levels 1&amp;2'!AR54</f>
        <v>6012277</v>
      </c>
      <c r="D51" s="22">
        <v>0</v>
      </c>
      <c r="E51" s="204">
        <v>-105564</v>
      </c>
      <c r="F51" s="22">
        <f t="shared" si="7"/>
        <v>5906713</v>
      </c>
      <c r="G51" s="22">
        <v>506359</v>
      </c>
      <c r="H51" s="23">
        <f t="shared" si="8"/>
        <v>4050872</v>
      </c>
      <c r="I51" s="23">
        <f t="shared" si="9"/>
        <v>1855841</v>
      </c>
      <c r="J51" s="23">
        <f t="shared" si="10"/>
        <v>463960</v>
      </c>
      <c r="K51" s="23">
        <f>+'[1]Table 3 Distribution W Adj'!I54</f>
        <v>5773602.393909058</v>
      </c>
      <c r="L51" s="23">
        <f t="shared" si="11"/>
        <v>133110.6060909424</v>
      </c>
      <c r="M51" s="16">
        <f t="shared" si="12"/>
        <v>133110.6060909424</v>
      </c>
      <c r="N51" s="16">
        <f t="shared" si="13"/>
        <v>0</v>
      </c>
      <c r="O51" s="16">
        <v>28146</v>
      </c>
      <c r="P51" s="136">
        <f t="shared" si="14"/>
        <v>0.75</v>
      </c>
      <c r="Q51" s="132">
        <v>100.7257142663</v>
      </c>
      <c r="R51" s="141">
        <f t="shared" si="15"/>
        <v>868</v>
      </c>
      <c r="S51" s="346"/>
      <c r="T51" s="346"/>
      <c r="U51" s="347"/>
      <c r="V51" s="348">
        <f t="shared" si="16"/>
        <v>0</v>
      </c>
      <c r="W51" s="16">
        <f t="shared" si="17"/>
        <v>0</v>
      </c>
      <c r="X51" s="16" t="e">
        <f>#REF!</f>
        <v>#REF!</v>
      </c>
      <c r="Y51" s="23">
        <v>6058824</v>
      </c>
      <c r="Z51" s="16" t="e">
        <f>#REF!-Y51</f>
        <v>#REF!</v>
      </c>
      <c r="AA51" s="351" t="e">
        <f t="shared" si="18"/>
        <v>#REF!</v>
      </c>
      <c r="AB51" s="350"/>
      <c r="AC51" s="350"/>
      <c r="AD51" s="350"/>
      <c r="AE51" s="350"/>
    </row>
    <row r="52" spans="1:31" ht="12.75">
      <c r="A52" s="660">
        <v>47</v>
      </c>
      <c r="B52" s="660" t="s">
        <v>188</v>
      </c>
      <c r="C52" s="23">
        <f>'Table 3 Levels 1&amp;2'!AR55</f>
        <v>9816901</v>
      </c>
      <c r="D52" s="22">
        <v>0</v>
      </c>
      <c r="E52" s="204">
        <v>-19446</v>
      </c>
      <c r="F52" s="22">
        <f t="shared" si="7"/>
        <v>9797455</v>
      </c>
      <c r="G52" s="22">
        <v>826296</v>
      </c>
      <c r="H52" s="23">
        <f t="shared" si="8"/>
        <v>6610368</v>
      </c>
      <c r="I52" s="23">
        <f t="shared" si="9"/>
        <v>3187087</v>
      </c>
      <c r="J52" s="23">
        <f t="shared" si="10"/>
        <v>796772</v>
      </c>
      <c r="K52" s="23">
        <f>+'[1]Table 3 Distribution W Adj'!I55</f>
        <v>9234989.133109458</v>
      </c>
      <c r="L52" s="23">
        <f t="shared" si="11"/>
        <v>562465.8668905422</v>
      </c>
      <c r="M52" s="16">
        <f t="shared" si="12"/>
        <v>562465.8668905422</v>
      </c>
      <c r="N52" s="16">
        <f t="shared" si="13"/>
        <v>0</v>
      </c>
      <c r="O52" s="16">
        <v>35116</v>
      </c>
      <c r="P52" s="136">
        <f t="shared" si="14"/>
        <v>0.75</v>
      </c>
      <c r="Q52" s="132">
        <v>279.466666668653</v>
      </c>
      <c r="R52" s="141">
        <f t="shared" si="15"/>
        <v>1322</v>
      </c>
      <c r="S52" s="346"/>
      <c r="T52" s="346"/>
      <c r="U52" s="347"/>
      <c r="V52" s="348">
        <f t="shared" si="16"/>
        <v>0</v>
      </c>
      <c r="W52" s="16">
        <f t="shared" si="17"/>
        <v>0</v>
      </c>
      <c r="X52" s="16" t="e">
        <f>#REF!</f>
        <v>#REF!</v>
      </c>
      <c r="Y52" s="23">
        <v>10021390</v>
      </c>
      <c r="Z52" s="16" t="e">
        <f>#REF!-Y52</f>
        <v>#REF!</v>
      </c>
      <c r="AA52" s="351" t="e">
        <f t="shared" si="18"/>
        <v>#REF!</v>
      </c>
      <c r="AB52" s="350"/>
      <c r="AC52" s="350"/>
      <c r="AD52" s="350"/>
      <c r="AE52" s="350"/>
    </row>
    <row r="53" spans="1:31" ht="12.75">
      <c r="A53" s="660">
        <v>48</v>
      </c>
      <c r="B53" s="660" t="s">
        <v>567</v>
      </c>
      <c r="C53" s="23">
        <f>'Table 3 Levels 1&amp;2'!AR56</f>
        <v>23649103</v>
      </c>
      <c r="D53" s="22">
        <v>0</v>
      </c>
      <c r="E53" s="204">
        <v>-23761</v>
      </c>
      <c r="F53" s="22">
        <f t="shared" si="7"/>
        <v>23625342</v>
      </c>
      <c r="G53" s="22">
        <v>2001785</v>
      </c>
      <c r="H53" s="23">
        <f t="shared" si="8"/>
        <v>16014280</v>
      </c>
      <c r="I53" s="23">
        <f t="shared" si="9"/>
        <v>7611062</v>
      </c>
      <c r="J53" s="23">
        <f t="shared" si="10"/>
        <v>1902766</v>
      </c>
      <c r="K53" s="23">
        <f>+'[1]Table 3 Distribution W Adj'!I56</f>
        <v>22978142.842219483</v>
      </c>
      <c r="L53" s="23">
        <f t="shared" si="11"/>
        <v>647199.1577805169</v>
      </c>
      <c r="M53" s="16">
        <f t="shared" si="12"/>
        <v>647199.1577805169</v>
      </c>
      <c r="N53" s="16">
        <f t="shared" si="13"/>
        <v>0</v>
      </c>
      <c r="O53" s="16">
        <v>30790</v>
      </c>
      <c r="P53" s="136">
        <f t="shared" si="14"/>
        <v>0.75</v>
      </c>
      <c r="Q53" s="132">
        <v>464</v>
      </c>
      <c r="R53" s="141">
        <f t="shared" si="15"/>
        <v>916</v>
      </c>
      <c r="S53" s="346"/>
      <c r="T53" s="346"/>
      <c r="U53" s="347"/>
      <c r="V53" s="348">
        <f t="shared" si="16"/>
        <v>0</v>
      </c>
      <c r="W53" s="16">
        <f t="shared" si="17"/>
        <v>0</v>
      </c>
      <c r="X53" s="16" t="e">
        <f>#REF!</f>
        <v>#REF!</v>
      </c>
      <c r="Y53" s="23">
        <v>21031677</v>
      </c>
      <c r="Z53" s="16" t="e">
        <f>#REF!-Y53</f>
        <v>#REF!</v>
      </c>
      <c r="AA53" s="351" t="e">
        <f t="shared" si="18"/>
        <v>#REF!</v>
      </c>
      <c r="AB53" s="350"/>
      <c r="AC53" s="350"/>
      <c r="AD53" s="350"/>
      <c r="AE53" s="350"/>
    </row>
    <row r="54" spans="1:31" ht="12.75">
      <c r="A54" s="660">
        <v>49</v>
      </c>
      <c r="B54" s="660" t="s">
        <v>189</v>
      </c>
      <c r="C54" s="23">
        <f>'Table 3 Levels 1&amp;2'!AR57</f>
        <v>58944805</v>
      </c>
      <c r="D54" s="22">
        <v>127424</v>
      </c>
      <c r="E54" s="204">
        <v>0</v>
      </c>
      <c r="F54" s="22">
        <f t="shared" si="7"/>
        <v>59072229</v>
      </c>
      <c r="G54" s="22">
        <v>4905335</v>
      </c>
      <c r="H54" s="23">
        <f t="shared" si="8"/>
        <v>39242680</v>
      </c>
      <c r="I54" s="23">
        <f t="shared" si="9"/>
        <v>19829549</v>
      </c>
      <c r="J54" s="23">
        <f t="shared" si="10"/>
        <v>4957387</v>
      </c>
      <c r="K54" s="23">
        <f>+'[1]Table 3 Distribution W Adj'!I57</f>
        <v>56037421.219910726</v>
      </c>
      <c r="L54" s="23">
        <f t="shared" si="11"/>
        <v>3034807.780089274</v>
      </c>
      <c r="M54" s="16">
        <f t="shared" si="12"/>
        <v>3034807.780089274</v>
      </c>
      <c r="N54" s="16">
        <f t="shared" si="13"/>
        <v>0</v>
      </c>
      <c r="O54" s="16">
        <v>31879</v>
      </c>
      <c r="P54" s="136">
        <f t="shared" si="14"/>
        <v>0.75</v>
      </c>
      <c r="Q54" s="132">
        <v>1059.25714298338</v>
      </c>
      <c r="R54" s="141">
        <f t="shared" si="15"/>
        <v>1882</v>
      </c>
      <c r="S54" s="346"/>
      <c r="T54" s="346"/>
      <c r="U54" s="347"/>
      <c r="V54" s="348">
        <f t="shared" si="16"/>
        <v>0</v>
      </c>
      <c r="W54" s="16">
        <f t="shared" si="17"/>
        <v>0</v>
      </c>
      <c r="X54" s="16" t="e">
        <f>#REF!</f>
        <v>#REF!</v>
      </c>
      <c r="Y54" s="23">
        <v>51365981</v>
      </c>
      <c r="Z54" s="16" t="e">
        <f>#REF!-Y54</f>
        <v>#REF!</v>
      </c>
      <c r="AA54" s="351" t="e">
        <f t="shared" si="18"/>
        <v>#REF!</v>
      </c>
      <c r="AB54" s="350"/>
      <c r="AC54" s="350"/>
      <c r="AD54" s="350"/>
      <c r="AE54" s="350"/>
    </row>
    <row r="55" spans="1:31" ht="12.75">
      <c r="A55" s="661">
        <v>50</v>
      </c>
      <c r="B55" s="661" t="s">
        <v>190</v>
      </c>
      <c r="C55" s="24">
        <f>'Table 3 Levels 1&amp;2'!AR58</f>
        <v>33557237</v>
      </c>
      <c r="D55" s="662">
        <v>44650</v>
      </c>
      <c r="E55" s="733">
        <v>0</v>
      </c>
      <c r="F55" s="369">
        <f t="shared" si="7"/>
        <v>33601887</v>
      </c>
      <c r="G55" s="369">
        <v>2792573</v>
      </c>
      <c r="H55" s="434">
        <f t="shared" si="8"/>
        <v>22340584</v>
      </c>
      <c r="I55" s="24">
        <f t="shared" si="9"/>
        <v>11261303</v>
      </c>
      <c r="J55" s="434">
        <f t="shared" si="10"/>
        <v>2815326</v>
      </c>
      <c r="K55" s="434">
        <f>+'[1]Table 3 Distribution W Adj'!I58</f>
        <v>32087406.28503777</v>
      </c>
      <c r="L55" s="434">
        <f t="shared" si="11"/>
        <v>1514480.7149622291</v>
      </c>
      <c r="M55" s="19">
        <f t="shared" si="12"/>
        <v>1514480.7149622291</v>
      </c>
      <c r="N55" s="19">
        <f t="shared" si="13"/>
        <v>0</v>
      </c>
      <c r="O55" s="19">
        <v>31386</v>
      </c>
      <c r="P55" s="137">
        <f t="shared" si="14"/>
        <v>0.75</v>
      </c>
      <c r="Q55" s="133">
        <v>590.450476109982</v>
      </c>
      <c r="R55" s="142">
        <f t="shared" si="15"/>
        <v>1685</v>
      </c>
      <c r="S55" s="346"/>
      <c r="T55" s="346"/>
      <c r="U55" s="347"/>
      <c r="V55" s="352">
        <f t="shared" si="16"/>
        <v>0</v>
      </c>
      <c r="W55" s="19">
        <f t="shared" si="17"/>
        <v>0</v>
      </c>
      <c r="X55" s="19" t="e">
        <f>#REF!</f>
        <v>#REF!</v>
      </c>
      <c r="Y55" s="24">
        <v>31020499</v>
      </c>
      <c r="Z55" s="19" t="e">
        <f>#REF!-Y55</f>
        <v>#REF!</v>
      </c>
      <c r="AA55" s="353" t="e">
        <f t="shared" si="18"/>
        <v>#REF!</v>
      </c>
      <c r="AB55" s="350"/>
      <c r="AC55" s="350"/>
      <c r="AD55" s="350"/>
      <c r="AE55" s="350"/>
    </row>
    <row r="56" spans="1:31" ht="12.75">
      <c r="A56" s="660">
        <v>51</v>
      </c>
      <c r="B56" s="660" t="s">
        <v>191</v>
      </c>
      <c r="C56" s="23">
        <f>'Table 3 Levels 1&amp;2'!AR59</f>
        <v>35540717</v>
      </c>
      <c r="D56" s="22">
        <v>101648</v>
      </c>
      <c r="E56" s="204">
        <v>0</v>
      </c>
      <c r="F56" s="22">
        <f t="shared" si="7"/>
        <v>35642365</v>
      </c>
      <c r="G56" s="22">
        <v>2933312</v>
      </c>
      <c r="H56" s="23">
        <f t="shared" si="8"/>
        <v>23466496</v>
      </c>
      <c r="I56" s="23">
        <f t="shared" si="9"/>
        <v>12175869</v>
      </c>
      <c r="J56" s="23">
        <f t="shared" si="10"/>
        <v>3043967</v>
      </c>
      <c r="K56" s="23">
        <f>+'[1]Table 3 Distribution W Adj'!I59</f>
        <v>33812921.59649534</v>
      </c>
      <c r="L56" s="23">
        <f t="shared" si="11"/>
        <v>1829443.4035046622</v>
      </c>
      <c r="M56" s="16">
        <f t="shared" si="12"/>
        <v>1829443.4035046622</v>
      </c>
      <c r="N56" s="16">
        <f t="shared" si="13"/>
        <v>0</v>
      </c>
      <c r="O56" s="16">
        <v>33223</v>
      </c>
      <c r="P56" s="136">
        <f t="shared" si="14"/>
        <v>0.75</v>
      </c>
      <c r="Q56" s="132">
        <v>715.583333313465</v>
      </c>
      <c r="R56" s="141">
        <f t="shared" si="15"/>
        <v>1679</v>
      </c>
      <c r="S56" s="346"/>
      <c r="T56" s="346"/>
      <c r="U56" s="347"/>
      <c r="V56" s="348">
        <f t="shared" si="16"/>
        <v>0</v>
      </c>
      <c r="W56" s="16">
        <f t="shared" si="17"/>
        <v>0</v>
      </c>
      <c r="X56" s="16" t="e">
        <f>#REF!</f>
        <v>#REF!</v>
      </c>
      <c r="Y56" s="23">
        <v>31296710</v>
      </c>
      <c r="Z56" s="16" t="e">
        <f>#REF!-Y56</f>
        <v>#REF!</v>
      </c>
      <c r="AA56" s="351" t="e">
        <f t="shared" si="18"/>
        <v>#REF!</v>
      </c>
      <c r="AB56" s="350"/>
      <c r="AC56" s="350"/>
      <c r="AD56" s="350"/>
      <c r="AE56" s="350"/>
    </row>
    <row r="57" spans="1:31" ht="12.75">
      <c r="A57" s="660">
        <v>52</v>
      </c>
      <c r="B57" s="660" t="s">
        <v>192</v>
      </c>
      <c r="C57" s="23">
        <f>'Table 3 Levels 1&amp;2'!AR60</f>
        <v>124493494</v>
      </c>
      <c r="D57" s="22">
        <v>0</v>
      </c>
      <c r="E57" s="204">
        <v>-152275</v>
      </c>
      <c r="F57" s="22">
        <f t="shared" si="7"/>
        <v>124341219</v>
      </c>
      <c r="G57" s="22">
        <v>10268554</v>
      </c>
      <c r="H57" s="23">
        <f t="shared" si="8"/>
        <v>82148432</v>
      </c>
      <c r="I57" s="23">
        <f t="shared" si="9"/>
        <v>42192787</v>
      </c>
      <c r="J57" s="23">
        <f t="shared" si="10"/>
        <v>10548197</v>
      </c>
      <c r="K57" s="23">
        <f>+'[1]Table 3 Distribution W Adj'!I60</f>
        <v>117742209.32135002</v>
      </c>
      <c r="L57" s="23">
        <f t="shared" si="11"/>
        <v>6599009.678649977</v>
      </c>
      <c r="M57" s="16">
        <f t="shared" si="12"/>
        <v>6599009.678649977</v>
      </c>
      <c r="N57" s="16">
        <f t="shared" si="13"/>
        <v>0</v>
      </c>
      <c r="O57" s="16">
        <v>34989</v>
      </c>
      <c r="P57" s="136">
        <f t="shared" si="14"/>
        <v>0.75</v>
      </c>
      <c r="Q57" s="132">
        <v>1892.44233316183</v>
      </c>
      <c r="R57" s="141">
        <f t="shared" si="15"/>
        <v>2290</v>
      </c>
      <c r="S57" s="346"/>
      <c r="T57" s="346"/>
      <c r="U57" s="347"/>
      <c r="V57" s="348">
        <f t="shared" si="16"/>
        <v>0</v>
      </c>
      <c r="W57" s="16">
        <f t="shared" si="17"/>
        <v>0</v>
      </c>
      <c r="X57" s="16" t="e">
        <f>#REF!</f>
        <v>#REF!</v>
      </c>
      <c r="Y57" s="23">
        <v>113707803</v>
      </c>
      <c r="Z57" s="16" t="e">
        <f>#REF!-Y57</f>
        <v>#REF!</v>
      </c>
      <c r="AA57" s="351" t="e">
        <f t="shared" si="18"/>
        <v>#REF!</v>
      </c>
      <c r="AB57" s="350"/>
      <c r="AC57" s="350"/>
      <c r="AD57" s="350"/>
      <c r="AE57" s="350"/>
    </row>
    <row r="58" spans="1:31" ht="12.75">
      <c r="A58" s="660">
        <v>53</v>
      </c>
      <c r="B58" s="660" t="s">
        <v>193</v>
      </c>
      <c r="C58" s="23">
        <f>'Table 3 Levels 1&amp;2'!AR61</f>
        <v>66741307</v>
      </c>
      <c r="D58" s="22">
        <v>0</v>
      </c>
      <c r="E58" s="204">
        <v>-331769</v>
      </c>
      <c r="F58" s="22">
        <f t="shared" si="7"/>
        <v>66409538</v>
      </c>
      <c r="G58" s="22">
        <v>5561676</v>
      </c>
      <c r="H58" s="23">
        <f t="shared" si="8"/>
        <v>44493408</v>
      </c>
      <c r="I58" s="23">
        <f t="shared" si="9"/>
        <v>21916130</v>
      </c>
      <c r="J58" s="23">
        <f t="shared" si="10"/>
        <v>5479033</v>
      </c>
      <c r="K58" s="23">
        <f>+'[1]Table 3 Distribution W Adj'!I61</f>
        <v>64095367.22949434</v>
      </c>
      <c r="L58" s="23">
        <f t="shared" si="11"/>
        <v>2314170.7705056593</v>
      </c>
      <c r="M58" s="16">
        <f t="shared" si="12"/>
        <v>2314170.7705056593</v>
      </c>
      <c r="N58" s="16">
        <f t="shared" si="13"/>
        <v>0</v>
      </c>
      <c r="O58" s="16">
        <v>33774</v>
      </c>
      <c r="P58" s="136">
        <f t="shared" si="14"/>
        <v>0.75</v>
      </c>
      <c r="Q58" s="132">
        <v>1080.54666668177</v>
      </c>
      <c r="R58" s="141">
        <f t="shared" si="15"/>
        <v>1407</v>
      </c>
      <c r="S58" s="346"/>
      <c r="T58" s="346"/>
      <c r="U58" s="347"/>
      <c r="V58" s="348">
        <f t="shared" si="16"/>
        <v>0</v>
      </c>
      <c r="W58" s="16">
        <f t="shared" si="17"/>
        <v>0</v>
      </c>
      <c r="X58" s="16" t="e">
        <f>#REF!</f>
        <v>#REF!</v>
      </c>
      <c r="Y58" s="23">
        <v>62723266</v>
      </c>
      <c r="Z58" s="16" t="e">
        <f>#REF!-Y58</f>
        <v>#REF!</v>
      </c>
      <c r="AA58" s="351" t="e">
        <f t="shared" si="18"/>
        <v>#REF!</v>
      </c>
      <c r="AB58" s="350"/>
      <c r="AC58" s="350"/>
      <c r="AD58" s="350"/>
      <c r="AE58" s="350"/>
    </row>
    <row r="59" spans="1:31" ht="12.75">
      <c r="A59" s="660">
        <v>54</v>
      </c>
      <c r="B59" s="660" t="s">
        <v>194</v>
      </c>
      <c r="C59" s="23">
        <f>'Table 3 Levels 1&amp;2'!AR62</f>
        <v>4248892</v>
      </c>
      <c r="D59" s="22">
        <v>17721</v>
      </c>
      <c r="E59" s="204">
        <v>0</v>
      </c>
      <c r="F59" s="22">
        <f t="shared" si="7"/>
        <v>4266613</v>
      </c>
      <c r="G59" s="22">
        <v>353876</v>
      </c>
      <c r="H59" s="23">
        <f t="shared" si="8"/>
        <v>2831008</v>
      </c>
      <c r="I59" s="23">
        <f t="shared" si="9"/>
        <v>1435605</v>
      </c>
      <c r="J59" s="23">
        <f t="shared" si="10"/>
        <v>358901</v>
      </c>
      <c r="K59" s="23">
        <f>+'[1]Table 3 Distribution W Adj'!I62</f>
        <v>4030923.1464291723</v>
      </c>
      <c r="L59" s="23">
        <f t="shared" si="11"/>
        <v>235689.85357082775</v>
      </c>
      <c r="M59" s="16">
        <f t="shared" si="12"/>
        <v>235689.85357082775</v>
      </c>
      <c r="N59" s="16">
        <f t="shared" si="13"/>
        <v>0</v>
      </c>
      <c r="O59" s="16">
        <v>24696</v>
      </c>
      <c r="P59" s="136">
        <f t="shared" si="14"/>
        <v>0.75</v>
      </c>
      <c r="Q59" s="132">
        <v>90.433333337307</v>
      </c>
      <c r="R59" s="141">
        <f t="shared" si="15"/>
        <v>1712</v>
      </c>
      <c r="S59" s="346"/>
      <c r="T59" s="346"/>
      <c r="U59" s="347"/>
      <c r="V59" s="348">
        <f t="shared" si="16"/>
        <v>0</v>
      </c>
      <c r="W59" s="16">
        <f t="shared" si="17"/>
        <v>0</v>
      </c>
      <c r="X59" s="16" t="e">
        <f>#REF!</f>
        <v>#REF!</v>
      </c>
      <c r="Y59" s="23">
        <v>4750805</v>
      </c>
      <c r="Z59" s="16" t="e">
        <f>#REF!-Y59</f>
        <v>#REF!</v>
      </c>
      <c r="AA59" s="351" t="e">
        <f t="shared" si="18"/>
        <v>#REF!</v>
      </c>
      <c r="AB59" s="350"/>
      <c r="AC59" s="350"/>
      <c r="AD59" s="350"/>
      <c r="AE59" s="350"/>
    </row>
    <row r="60" spans="1:31" ht="12.75">
      <c r="A60" s="661">
        <v>55</v>
      </c>
      <c r="B60" s="661" t="s">
        <v>195</v>
      </c>
      <c r="C60" s="24">
        <f>'Table 3 Levels 1&amp;2'!AR63</f>
        <v>67188071</v>
      </c>
      <c r="D60" s="662">
        <v>104565</v>
      </c>
      <c r="E60" s="733">
        <v>0</v>
      </c>
      <c r="F60" s="369">
        <f t="shared" si="7"/>
        <v>67292636</v>
      </c>
      <c r="G60" s="369">
        <v>5598807</v>
      </c>
      <c r="H60" s="434">
        <f t="shared" si="8"/>
        <v>44790456</v>
      </c>
      <c r="I60" s="24">
        <f t="shared" si="9"/>
        <v>22502180</v>
      </c>
      <c r="J60" s="434">
        <f t="shared" si="10"/>
        <v>5625545</v>
      </c>
      <c r="K60" s="434">
        <f>+'[1]Table 3 Distribution W Adj'!I63</f>
        <v>63929881.02003774</v>
      </c>
      <c r="L60" s="434">
        <f t="shared" si="11"/>
        <v>3362754.9799622595</v>
      </c>
      <c r="M60" s="19">
        <f t="shared" si="12"/>
        <v>3362754.9799622595</v>
      </c>
      <c r="N60" s="19">
        <f t="shared" si="13"/>
        <v>0</v>
      </c>
      <c r="O60" s="19">
        <v>32733</v>
      </c>
      <c r="P60" s="137">
        <f t="shared" si="14"/>
        <v>0.75</v>
      </c>
      <c r="Q60" s="133">
        <v>1381.78285712004</v>
      </c>
      <c r="R60" s="142">
        <f t="shared" si="15"/>
        <v>1598</v>
      </c>
      <c r="S60" s="346"/>
      <c r="T60" s="346"/>
      <c r="U60" s="347"/>
      <c r="V60" s="352">
        <f t="shared" si="16"/>
        <v>0</v>
      </c>
      <c r="W60" s="19">
        <f t="shared" si="17"/>
        <v>0</v>
      </c>
      <c r="X60" s="19" t="e">
        <f>#REF!</f>
        <v>#REF!</v>
      </c>
      <c r="Y60" s="24">
        <v>62867691</v>
      </c>
      <c r="Z60" s="19" t="e">
        <f>#REF!-Y60</f>
        <v>#REF!</v>
      </c>
      <c r="AA60" s="353" t="e">
        <f t="shared" si="18"/>
        <v>#REF!</v>
      </c>
      <c r="AB60" s="350"/>
      <c r="AC60" s="350"/>
      <c r="AD60" s="350"/>
      <c r="AE60" s="350"/>
    </row>
    <row r="61" spans="1:31" ht="12.75">
      <c r="A61" s="660">
        <v>56</v>
      </c>
      <c r="B61" s="660" t="s">
        <v>196</v>
      </c>
      <c r="C61" s="23">
        <f>'Table 3 Levels 1&amp;2'!AR64</f>
        <v>12055907</v>
      </c>
      <c r="D61" s="22">
        <v>6470</v>
      </c>
      <c r="E61" s="204">
        <v>0</v>
      </c>
      <c r="F61" s="22">
        <f t="shared" si="7"/>
        <v>12062377</v>
      </c>
      <c r="G61" s="325">
        <v>1004659</v>
      </c>
      <c r="H61" s="465">
        <f t="shared" si="8"/>
        <v>8037272</v>
      </c>
      <c r="I61" s="354">
        <f t="shared" si="9"/>
        <v>4025105</v>
      </c>
      <c r="J61" s="23">
        <f t="shared" si="10"/>
        <v>1006276</v>
      </c>
      <c r="K61" s="23">
        <f>+'[1]Table 3 Distribution W Adj'!I64</f>
        <v>11475868.56623123</v>
      </c>
      <c r="L61" s="23">
        <f t="shared" si="11"/>
        <v>586508.4337687697</v>
      </c>
      <c r="M61" s="16">
        <f t="shared" si="12"/>
        <v>586508.4337687697</v>
      </c>
      <c r="N61" s="16">
        <f t="shared" si="13"/>
        <v>0</v>
      </c>
      <c r="O61" s="16">
        <v>27063</v>
      </c>
      <c r="P61" s="136">
        <f t="shared" si="14"/>
        <v>0.75</v>
      </c>
      <c r="Q61" s="132">
        <v>222.46285200119</v>
      </c>
      <c r="R61" s="141">
        <f t="shared" si="15"/>
        <v>1731</v>
      </c>
      <c r="S61" s="346"/>
      <c r="T61" s="346"/>
      <c r="U61" s="347"/>
      <c r="V61" s="348">
        <f t="shared" si="16"/>
        <v>0</v>
      </c>
      <c r="W61" s="16">
        <f t="shared" si="17"/>
        <v>0</v>
      </c>
      <c r="X61" s="16" t="e">
        <f>#REF!</f>
        <v>#REF!</v>
      </c>
      <c r="Y61" s="23">
        <v>11579824</v>
      </c>
      <c r="Z61" s="16" t="e">
        <f>#REF!-Y61</f>
        <v>#REF!</v>
      </c>
      <c r="AA61" s="351" t="e">
        <f t="shared" si="18"/>
        <v>#REF!</v>
      </c>
      <c r="AB61" s="350"/>
      <c r="AC61" s="350"/>
      <c r="AD61" s="350"/>
      <c r="AE61" s="350"/>
    </row>
    <row r="62" spans="1:31" ht="12.75">
      <c r="A62" s="660">
        <v>57</v>
      </c>
      <c r="B62" s="660" t="s">
        <v>197</v>
      </c>
      <c r="C62" s="23">
        <f>'Table 3 Levels 1&amp;2'!AR65</f>
        <v>28042826</v>
      </c>
      <c r="D62" s="22">
        <v>77754</v>
      </c>
      <c r="E62" s="204">
        <v>0</v>
      </c>
      <c r="F62" s="22">
        <f t="shared" si="7"/>
        <v>28120580</v>
      </c>
      <c r="G62" s="22">
        <v>2351130</v>
      </c>
      <c r="H62" s="23">
        <f t="shared" si="8"/>
        <v>18809040</v>
      </c>
      <c r="I62" s="23">
        <f t="shared" si="9"/>
        <v>9311540</v>
      </c>
      <c r="J62" s="23">
        <f t="shared" si="10"/>
        <v>2327885</v>
      </c>
      <c r="K62" s="23">
        <f>+'[1]Table 3 Distribution W Adj'!I65</f>
        <v>26840532.602867957</v>
      </c>
      <c r="L62" s="23">
        <f t="shared" si="11"/>
        <v>1280047.3971320428</v>
      </c>
      <c r="M62" s="16">
        <f t="shared" si="12"/>
        <v>1280047.3971320428</v>
      </c>
      <c r="N62" s="16">
        <f t="shared" si="13"/>
        <v>0</v>
      </c>
      <c r="O62" s="16">
        <v>33420</v>
      </c>
      <c r="P62" s="136">
        <f t="shared" si="14"/>
        <v>0.75</v>
      </c>
      <c r="Q62" s="132">
        <v>585.937142848969</v>
      </c>
      <c r="R62" s="141">
        <f t="shared" si="15"/>
        <v>1435</v>
      </c>
      <c r="S62" s="346"/>
      <c r="T62" s="346"/>
      <c r="U62" s="347"/>
      <c r="V62" s="348">
        <f t="shared" si="16"/>
        <v>0</v>
      </c>
      <c r="W62" s="16">
        <f t="shared" si="17"/>
        <v>0</v>
      </c>
      <c r="X62" s="16" t="e">
        <f>#REF!</f>
        <v>#REF!</v>
      </c>
      <c r="Y62" s="23">
        <v>24469320</v>
      </c>
      <c r="Z62" s="16" t="e">
        <f>#REF!-Y62</f>
        <v>#REF!</v>
      </c>
      <c r="AA62" s="351" t="e">
        <f t="shared" si="18"/>
        <v>#REF!</v>
      </c>
      <c r="AB62" s="350"/>
      <c r="AC62" s="350"/>
      <c r="AD62" s="350"/>
      <c r="AE62" s="350"/>
    </row>
    <row r="63" spans="1:31" ht="12.75">
      <c r="A63" s="660">
        <v>58</v>
      </c>
      <c r="B63" s="660" t="s">
        <v>198</v>
      </c>
      <c r="C63" s="23">
        <f>'Table 3 Levels 1&amp;2'!AR66</f>
        <v>39737423</v>
      </c>
      <c r="D63" s="22">
        <v>0</v>
      </c>
      <c r="E63" s="204">
        <v>-75311</v>
      </c>
      <c r="F63" s="22">
        <f t="shared" si="7"/>
        <v>39662112</v>
      </c>
      <c r="G63" s="22">
        <v>3320972</v>
      </c>
      <c r="H63" s="23">
        <f t="shared" si="8"/>
        <v>26567776</v>
      </c>
      <c r="I63" s="23">
        <f t="shared" si="9"/>
        <v>13094336</v>
      </c>
      <c r="J63" s="23">
        <f t="shared" si="10"/>
        <v>3273584</v>
      </c>
      <c r="K63" s="23">
        <f>+'[1]Table 3 Distribution W Adj'!I66</f>
        <v>38164325.794850245</v>
      </c>
      <c r="L63" s="23">
        <f t="shared" si="11"/>
        <v>1497786.2051497549</v>
      </c>
      <c r="M63" s="16">
        <f t="shared" si="12"/>
        <v>1497786.2051497549</v>
      </c>
      <c r="N63" s="16">
        <f t="shared" si="13"/>
        <v>0</v>
      </c>
      <c r="O63" s="16">
        <v>29509</v>
      </c>
      <c r="P63" s="136">
        <f t="shared" si="14"/>
        <v>0.75</v>
      </c>
      <c r="Q63" s="132">
        <v>706.116666734219</v>
      </c>
      <c r="R63" s="141">
        <f t="shared" si="15"/>
        <v>1393</v>
      </c>
      <c r="S63" s="346"/>
      <c r="T63" s="346"/>
      <c r="U63" s="347"/>
      <c r="V63" s="348">
        <f t="shared" si="16"/>
        <v>0</v>
      </c>
      <c r="W63" s="16">
        <f t="shared" si="17"/>
        <v>0</v>
      </c>
      <c r="X63" s="16" t="e">
        <f>#REF!</f>
        <v>#REF!</v>
      </c>
      <c r="Y63" s="23">
        <v>36443654</v>
      </c>
      <c r="Z63" s="16" t="e">
        <f>#REF!-Y63</f>
        <v>#REF!</v>
      </c>
      <c r="AA63" s="351" t="e">
        <f t="shared" si="18"/>
        <v>#REF!</v>
      </c>
      <c r="AB63" s="350"/>
      <c r="AC63" s="350"/>
      <c r="AD63" s="350"/>
      <c r="AE63" s="350"/>
    </row>
    <row r="64" spans="1:31" ht="12.75">
      <c r="A64" s="660">
        <v>59</v>
      </c>
      <c r="B64" s="660" t="s">
        <v>199</v>
      </c>
      <c r="C64" s="23">
        <f>'Table 3 Levels 1&amp;2'!AR67</f>
        <v>20562953</v>
      </c>
      <c r="D64" s="22">
        <v>0</v>
      </c>
      <c r="E64" s="204">
        <v>-25032</v>
      </c>
      <c r="F64" s="22">
        <f t="shared" si="7"/>
        <v>20537921</v>
      </c>
      <c r="G64" s="22">
        <v>1713580</v>
      </c>
      <c r="H64" s="23">
        <f t="shared" si="8"/>
        <v>13708640</v>
      </c>
      <c r="I64" s="23">
        <f t="shared" si="9"/>
        <v>6829281</v>
      </c>
      <c r="J64" s="23">
        <f t="shared" si="10"/>
        <v>1707320</v>
      </c>
      <c r="K64" s="23">
        <f>+'[1]Table 3 Distribution W Adj'!I67</f>
        <v>19770219.740929645</v>
      </c>
      <c r="L64" s="23">
        <f t="shared" si="11"/>
        <v>767701.2590703554</v>
      </c>
      <c r="M64" s="16">
        <f t="shared" si="12"/>
        <v>767701.2590703554</v>
      </c>
      <c r="N64" s="16">
        <f t="shared" si="13"/>
        <v>0</v>
      </c>
      <c r="O64" s="16">
        <v>30542</v>
      </c>
      <c r="P64" s="136">
        <f t="shared" si="14"/>
        <v>0.75</v>
      </c>
      <c r="Q64" s="132">
        <v>344</v>
      </c>
      <c r="R64" s="141">
        <f t="shared" si="15"/>
        <v>1466</v>
      </c>
      <c r="S64" s="346"/>
      <c r="T64" s="346"/>
      <c r="U64" s="347"/>
      <c r="V64" s="348">
        <f t="shared" si="16"/>
        <v>0</v>
      </c>
      <c r="W64" s="16">
        <f t="shared" si="17"/>
        <v>0</v>
      </c>
      <c r="X64" s="16" t="e">
        <f>#REF!</f>
        <v>#REF!</v>
      </c>
      <c r="Y64" s="23">
        <v>18532013</v>
      </c>
      <c r="Z64" s="16" t="e">
        <f>#REF!-Y64</f>
        <v>#REF!</v>
      </c>
      <c r="AA64" s="351" t="e">
        <f t="shared" si="18"/>
        <v>#REF!</v>
      </c>
      <c r="AB64" s="350"/>
      <c r="AC64" s="350"/>
      <c r="AD64" s="350"/>
      <c r="AE64" s="350"/>
    </row>
    <row r="65" spans="1:31" ht="12.75">
      <c r="A65" s="661">
        <v>60</v>
      </c>
      <c r="B65" s="661" t="s">
        <v>200</v>
      </c>
      <c r="C65" s="24">
        <f>'Table 3 Levels 1&amp;2'!AR68</f>
        <v>26575015</v>
      </c>
      <c r="D65" s="662">
        <v>38776</v>
      </c>
      <c r="E65" s="733">
        <v>0</v>
      </c>
      <c r="F65" s="369">
        <f t="shared" si="7"/>
        <v>26613791</v>
      </c>
      <c r="G65" s="369">
        <v>2209916</v>
      </c>
      <c r="H65" s="434">
        <f t="shared" si="8"/>
        <v>17679328</v>
      </c>
      <c r="I65" s="24">
        <f t="shared" si="9"/>
        <v>8934463</v>
      </c>
      <c r="J65" s="434">
        <f t="shared" si="10"/>
        <v>2233616</v>
      </c>
      <c r="K65" s="434">
        <f>+'[1]Table 3 Distribution W Adj'!I68</f>
        <v>25361150.80107241</v>
      </c>
      <c r="L65" s="434">
        <f t="shared" si="11"/>
        <v>1252640.1989275888</v>
      </c>
      <c r="M65" s="19">
        <f t="shared" si="12"/>
        <v>1252640.1989275888</v>
      </c>
      <c r="N65" s="19">
        <f t="shared" si="13"/>
        <v>0</v>
      </c>
      <c r="O65" s="19">
        <v>33600</v>
      </c>
      <c r="P65" s="137">
        <f t="shared" si="14"/>
        <v>0.75</v>
      </c>
      <c r="Q65" s="133">
        <v>487.833333313465</v>
      </c>
      <c r="R65" s="142">
        <f t="shared" si="15"/>
        <v>1686</v>
      </c>
      <c r="S65" s="346"/>
      <c r="T65" s="346"/>
      <c r="U65" s="347"/>
      <c r="V65" s="352">
        <f t="shared" si="16"/>
        <v>0</v>
      </c>
      <c r="W65" s="19">
        <f t="shared" si="17"/>
        <v>0</v>
      </c>
      <c r="X65" s="19" t="e">
        <f>#REF!</f>
        <v>#REF!</v>
      </c>
      <c r="Y65" s="24">
        <v>24814608</v>
      </c>
      <c r="Z65" s="19" t="e">
        <f>#REF!-Y65</f>
        <v>#REF!</v>
      </c>
      <c r="AA65" s="353" t="e">
        <f t="shared" si="18"/>
        <v>#REF!</v>
      </c>
      <c r="AB65" s="350"/>
      <c r="AC65" s="350"/>
      <c r="AD65" s="350"/>
      <c r="AE65" s="350"/>
    </row>
    <row r="66" spans="1:31" ht="12.75">
      <c r="A66" s="660">
        <v>61</v>
      </c>
      <c r="B66" s="660" t="s">
        <v>201</v>
      </c>
      <c r="C66" s="23">
        <f>'Table 3 Levels 1&amp;2'!AR69</f>
        <v>9241351</v>
      </c>
      <c r="D66" s="22">
        <v>0</v>
      </c>
      <c r="E66" s="204">
        <v>-100406</v>
      </c>
      <c r="F66" s="22">
        <f t="shared" si="7"/>
        <v>9140945</v>
      </c>
      <c r="G66" s="22">
        <v>816564</v>
      </c>
      <c r="H66" s="23">
        <f t="shared" si="8"/>
        <v>6532512</v>
      </c>
      <c r="I66" s="23">
        <f t="shared" si="9"/>
        <v>2608433</v>
      </c>
      <c r="J66" s="23">
        <f t="shared" si="10"/>
        <v>652108</v>
      </c>
      <c r="K66" s="23">
        <f>+'[1]Table 3 Distribution W Adj'!I69</f>
        <v>9171667.411096334</v>
      </c>
      <c r="L66" s="23">
        <f t="shared" si="11"/>
        <v>-30722.411096334457</v>
      </c>
      <c r="M66" s="16">
        <f t="shared" si="12"/>
        <v>0</v>
      </c>
      <c r="N66" s="16">
        <f t="shared" si="13"/>
        <v>-30722.411096334457</v>
      </c>
      <c r="O66" s="16">
        <v>31716</v>
      </c>
      <c r="P66" s="136">
        <f t="shared" si="14"/>
        <v>0.75</v>
      </c>
      <c r="Q66" s="132">
        <v>239.948571443558</v>
      </c>
      <c r="R66" s="141">
        <f t="shared" si="15"/>
        <v>0</v>
      </c>
      <c r="S66" s="346"/>
      <c r="T66" s="346"/>
      <c r="U66" s="347"/>
      <c r="V66" s="348">
        <f t="shared" si="16"/>
        <v>0</v>
      </c>
      <c r="W66" s="16">
        <f t="shared" si="17"/>
        <v>0</v>
      </c>
      <c r="X66" s="16" t="e">
        <f>#REF!</f>
        <v>#REF!</v>
      </c>
      <c r="Y66" s="23">
        <v>8830167</v>
      </c>
      <c r="Z66" s="16" t="e">
        <f>#REF!-Y66</f>
        <v>#REF!</v>
      </c>
      <c r="AA66" s="351" t="e">
        <f t="shared" si="18"/>
        <v>#REF!</v>
      </c>
      <c r="AB66" s="350"/>
      <c r="AC66" s="350"/>
      <c r="AD66" s="350"/>
      <c r="AE66" s="350"/>
    </row>
    <row r="67" spans="1:31" ht="12.75">
      <c r="A67" s="660">
        <v>62</v>
      </c>
      <c r="B67" s="660" t="s">
        <v>202</v>
      </c>
      <c r="C67" s="23">
        <f>'Table 3 Levels 1&amp;2'!AR70</f>
        <v>9607257</v>
      </c>
      <c r="D67" s="22">
        <v>0</v>
      </c>
      <c r="E67" s="204">
        <v>-10195</v>
      </c>
      <c r="F67" s="22">
        <f t="shared" si="7"/>
        <v>9597062</v>
      </c>
      <c r="G67" s="22">
        <v>800605</v>
      </c>
      <c r="H67" s="23">
        <f t="shared" si="8"/>
        <v>6404840</v>
      </c>
      <c r="I67" s="23">
        <f t="shared" si="9"/>
        <v>3192222</v>
      </c>
      <c r="J67" s="23">
        <f t="shared" si="10"/>
        <v>798056</v>
      </c>
      <c r="K67" s="23">
        <f>+'[1]Table 3 Distribution W Adj'!I70</f>
        <v>9137712.672857715</v>
      </c>
      <c r="L67" s="23">
        <f t="shared" si="11"/>
        <v>459349.3271422852</v>
      </c>
      <c r="M67" s="16">
        <f t="shared" si="12"/>
        <v>459349.3271422852</v>
      </c>
      <c r="N67" s="16">
        <f t="shared" si="13"/>
        <v>0</v>
      </c>
      <c r="O67" s="16">
        <v>26474</v>
      </c>
      <c r="P67" s="136">
        <f t="shared" si="14"/>
        <v>0.75</v>
      </c>
      <c r="Q67" s="132">
        <v>185</v>
      </c>
      <c r="R67" s="141">
        <f t="shared" si="15"/>
        <v>1631</v>
      </c>
      <c r="S67" s="346"/>
      <c r="T67" s="346"/>
      <c r="U67" s="347"/>
      <c r="V67" s="348">
        <f t="shared" si="16"/>
        <v>0</v>
      </c>
      <c r="W67" s="16">
        <f t="shared" si="17"/>
        <v>0</v>
      </c>
      <c r="X67" s="16" t="e">
        <f>#REF!</f>
        <v>#REF!</v>
      </c>
      <c r="Y67" s="23">
        <v>9199073</v>
      </c>
      <c r="Z67" s="16" t="e">
        <f>#REF!-Y67</f>
        <v>#REF!</v>
      </c>
      <c r="AA67" s="351" t="e">
        <f t="shared" si="18"/>
        <v>#REF!</v>
      </c>
      <c r="AB67" s="350"/>
      <c r="AC67" s="350"/>
      <c r="AD67" s="350"/>
      <c r="AE67" s="350"/>
    </row>
    <row r="68" spans="1:31" ht="12.75">
      <c r="A68" s="660">
        <v>63</v>
      </c>
      <c r="B68" s="660" t="s">
        <v>203</v>
      </c>
      <c r="C68" s="23">
        <f>'Table 3 Levels 1&amp;2'!AR71</f>
        <v>7100359</v>
      </c>
      <c r="D68" s="22">
        <v>3043</v>
      </c>
      <c r="E68" s="204">
        <v>0</v>
      </c>
      <c r="F68" s="22">
        <f t="shared" si="7"/>
        <v>7103402</v>
      </c>
      <c r="G68" s="22">
        <v>590972</v>
      </c>
      <c r="H68" s="23">
        <f t="shared" si="8"/>
        <v>4727776</v>
      </c>
      <c r="I68" s="23">
        <f t="shared" si="9"/>
        <v>2375626</v>
      </c>
      <c r="J68" s="23">
        <f t="shared" si="10"/>
        <v>593907</v>
      </c>
      <c r="K68" s="23">
        <f>+'[1]Table 3 Distribution W Adj'!I71</f>
        <v>6600131.406132722</v>
      </c>
      <c r="L68" s="23">
        <f t="shared" si="11"/>
        <v>503270.5938672777</v>
      </c>
      <c r="M68" s="16">
        <f t="shared" si="12"/>
        <v>503270.5938672777</v>
      </c>
      <c r="N68" s="16">
        <f t="shared" si="13"/>
        <v>0</v>
      </c>
      <c r="O68" s="16">
        <v>34609</v>
      </c>
      <c r="P68" s="136">
        <f t="shared" si="14"/>
        <v>0.75</v>
      </c>
      <c r="Q68" s="132">
        <v>195</v>
      </c>
      <c r="R68" s="141">
        <f t="shared" si="15"/>
        <v>1695</v>
      </c>
      <c r="S68" s="346"/>
      <c r="T68" s="346"/>
      <c r="U68" s="347"/>
      <c r="V68" s="348">
        <f t="shared" si="16"/>
        <v>0</v>
      </c>
      <c r="W68" s="16">
        <f t="shared" si="17"/>
        <v>0</v>
      </c>
      <c r="X68" s="16" t="e">
        <f>#REF!</f>
        <v>#REF!</v>
      </c>
      <c r="Y68" s="23">
        <v>6688670</v>
      </c>
      <c r="Z68" s="16" t="e">
        <f>#REF!-Y68</f>
        <v>#REF!</v>
      </c>
      <c r="AA68" s="351" t="e">
        <f t="shared" si="18"/>
        <v>#REF!</v>
      </c>
      <c r="AB68" s="350"/>
      <c r="AC68" s="350"/>
      <c r="AD68" s="350"/>
      <c r="AE68" s="350"/>
    </row>
    <row r="69" spans="1:31" ht="12.75">
      <c r="A69" s="660">
        <v>64</v>
      </c>
      <c r="B69" s="660" t="s">
        <v>204</v>
      </c>
      <c r="C69" s="23">
        <f>'Table 3 Levels 1&amp;2'!AR72</f>
        <v>11658247</v>
      </c>
      <c r="D69" s="22">
        <v>41584</v>
      </c>
      <c r="E69" s="204">
        <v>0</v>
      </c>
      <c r="F69" s="22">
        <f t="shared" si="7"/>
        <v>11699831</v>
      </c>
      <c r="G69" s="22">
        <v>971521</v>
      </c>
      <c r="H69" s="23">
        <f t="shared" si="8"/>
        <v>7772168</v>
      </c>
      <c r="I69" s="23">
        <f t="shared" si="9"/>
        <v>3927663</v>
      </c>
      <c r="J69" s="23">
        <f t="shared" si="10"/>
        <v>981916</v>
      </c>
      <c r="K69" s="23">
        <f>+'[1]Table 3 Distribution W Adj'!I72</f>
        <v>11155104.10180757</v>
      </c>
      <c r="L69" s="23">
        <f t="shared" si="11"/>
        <v>544726.8981924299</v>
      </c>
      <c r="M69" s="16">
        <f t="shared" si="12"/>
        <v>544726.8981924299</v>
      </c>
      <c r="N69" s="16">
        <f t="shared" si="13"/>
        <v>0</v>
      </c>
      <c r="O69" s="16">
        <v>26556</v>
      </c>
      <c r="P69" s="136">
        <f t="shared" si="14"/>
        <v>0.75</v>
      </c>
      <c r="Q69" s="132">
        <v>210.866666674614</v>
      </c>
      <c r="R69" s="141">
        <f t="shared" si="15"/>
        <v>1697</v>
      </c>
      <c r="S69" s="346"/>
      <c r="T69" s="346"/>
      <c r="U69" s="347"/>
      <c r="V69" s="348">
        <f t="shared" si="16"/>
        <v>0</v>
      </c>
      <c r="W69" s="16">
        <f t="shared" si="17"/>
        <v>0</v>
      </c>
      <c r="X69" s="16" t="e">
        <f>#REF!</f>
        <v>#REF!</v>
      </c>
      <c r="Y69" s="23">
        <v>10924710</v>
      </c>
      <c r="Z69" s="16" t="e">
        <f>#REF!-Y69</f>
        <v>#REF!</v>
      </c>
      <c r="AA69" s="351" t="e">
        <f t="shared" si="18"/>
        <v>#REF!</v>
      </c>
      <c r="AB69" s="350"/>
      <c r="AC69" s="350"/>
      <c r="AD69" s="350"/>
      <c r="AE69" s="350"/>
    </row>
    <row r="70" spans="1:31" ht="12.75">
      <c r="A70" s="660">
        <v>65</v>
      </c>
      <c r="B70" s="660" t="s">
        <v>205</v>
      </c>
      <c r="C70" s="23">
        <f>'Table 3 Levels 1&amp;2'!AR73</f>
        <v>27533764</v>
      </c>
      <c r="D70" s="22">
        <v>0</v>
      </c>
      <c r="E70" s="204">
        <v>-401761</v>
      </c>
      <c r="F70" s="22">
        <f t="shared" si="7"/>
        <v>27132003</v>
      </c>
      <c r="G70" s="22">
        <v>2348207</v>
      </c>
      <c r="H70" s="23">
        <f t="shared" si="8"/>
        <v>18785656</v>
      </c>
      <c r="I70" s="23">
        <f t="shared" si="9"/>
        <v>8346347</v>
      </c>
      <c r="J70" s="23">
        <f t="shared" si="10"/>
        <v>2086587</v>
      </c>
      <c r="K70" s="23">
        <f>+'[1]Table 3 Distribution W Adj'!I73</f>
        <v>26522112.250566497</v>
      </c>
      <c r="L70" s="23">
        <f t="shared" si="11"/>
        <v>609890.7494335026</v>
      </c>
      <c r="M70" s="16">
        <f>IF(L70&gt;0,L70,0)</f>
        <v>609890.7494335026</v>
      </c>
      <c r="N70" s="16">
        <f t="shared" si="13"/>
        <v>0</v>
      </c>
      <c r="O70" s="16">
        <v>27591</v>
      </c>
      <c r="P70" s="136">
        <f>IF(O70&gt;$P$5,0.5,0.75)</f>
        <v>0.75</v>
      </c>
      <c r="Q70" s="132">
        <v>595.395238101482</v>
      </c>
      <c r="R70" s="141">
        <f>ROUND(M70*P70/1.142/Q70,0)</f>
        <v>673</v>
      </c>
      <c r="S70" s="346"/>
      <c r="T70" s="346"/>
      <c r="U70" s="347"/>
      <c r="V70" s="348">
        <f t="shared" si="16"/>
        <v>0</v>
      </c>
      <c r="W70" s="16">
        <f>U70-V70</f>
        <v>0</v>
      </c>
      <c r="X70" s="16" t="e">
        <f>#REF!</f>
        <v>#REF!</v>
      </c>
      <c r="Y70" s="23">
        <v>24398975</v>
      </c>
      <c r="Z70" s="16" t="e">
        <f>#REF!-Y70</f>
        <v>#REF!</v>
      </c>
      <c r="AA70" s="351" t="e">
        <f>Z70/Y70</f>
        <v>#REF!</v>
      </c>
      <c r="AB70" s="350"/>
      <c r="AC70" s="350"/>
      <c r="AD70" s="350"/>
      <c r="AE70" s="350"/>
    </row>
    <row r="71" spans="1:31" ht="12.75">
      <c r="A71" s="661">
        <v>66</v>
      </c>
      <c r="B71" s="661" t="s">
        <v>206</v>
      </c>
      <c r="C71" s="24">
        <f>'Table 3 Levels 1&amp;2'!AR74</f>
        <v>12675429</v>
      </c>
      <c r="D71" s="662">
        <v>0</v>
      </c>
      <c r="E71" s="733">
        <v>-75805</v>
      </c>
      <c r="F71" s="369">
        <f>SUM(C71:E71)</f>
        <v>12599624</v>
      </c>
      <c r="G71" s="369">
        <v>1056286</v>
      </c>
      <c r="H71" s="434">
        <f>ROUND(G71*8,0)</f>
        <v>8450288</v>
      </c>
      <c r="I71" s="24">
        <f>+F71-H71</f>
        <v>4149336</v>
      </c>
      <c r="J71" s="434">
        <f>ROUND(I71/4,0)</f>
        <v>1037334</v>
      </c>
      <c r="K71" s="434">
        <f>+'[1]Table 3 Distribution W Adj'!I74</f>
        <v>12123305.228056172</v>
      </c>
      <c r="L71" s="434">
        <f t="shared" si="11"/>
        <v>476318.7719438281</v>
      </c>
      <c r="M71" s="19">
        <f>IF(L71&gt;0,L71,0)</f>
        <v>476318.7719438281</v>
      </c>
      <c r="N71" s="19">
        <f t="shared" si="13"/>
        <v>0</v>
      </c>
      <c r="O71" s="19">
        <v>26909</v>
      </c>
      <c r="P71" s="137">
        <f>IF(O71&gt;$P$5,0.5,0.75)</f>
        <v>0.75</v>
      </c>
      <c r="Q71" s="133">
        <v>216.625</v>
      </c>
      <c r="R71" s="142">
        <f>ROUND(M71*P71/1.142/Q71,0)</f>
        <v>1444</v>
      </c>
      <c r="S71" s="346"/>
      <c r="T71" s="346"/>
      <c r="U71" s="347"/>
      <c r="V71" s="352">
        <f t="shared" si="16"/>
        <v>0</v>
      </c>
      <c r="W71" s="19">
        <f>U71-V71</f>
        <v>0</v>
      </c>
      <c r="X71" s="19" t="e">
        <f>#REF!</f>
        <v>#REF!</v>
      </c>
      <c r="Y71" s="24">
        <v>11650547</v>
      </c>
      <c r="Z71" s="19" t="e">
        <f>#REF!-Y71</f>
        <v>#REF!</v>
      </c>
      <c r="AA71" s="353" t="e">
        <f>Z71/Y71</f>
        <v>#REF!</v>
      </c>
      <c r="AB71" s="350"/>
      <c r="AC71" s="350"/>
      <c r="AD71" s="350"/>
      <c r="AE71" s="350"/>
    </row>
    <row r="72" spans="1:31" ht="15.75" customHeight="1">
      <c r="A72" s="20"/>
      <c r="B72" s="20"/>
      <c r="C72" s="354"/>
      <c r="D72" s="22"/>
      <c r="E72" s="204"/>
      <c r="F72" s="22"/>
      <c r="G72" s="356"/>
      <c r="H72" s="354"/>
      <c r="I72" s="23"/>
      <c r="J72" s="23"/>
      <c r="K72" s="23"/>
      <c r="L72" s="23"/>
      <c r="M72" s="22"/>
      <c r="N72" s="22"/>
      <c r="O72" s="22"/>
      <c r="P72" s="138"/>
      <c r="Q72" s="134"/>
      <c r="R72" s="143"/>
      <c r="S72" s="355"/>
      <c r="T72" s="355"/>
      <c r="U72" s="347"/>
      <c r="V72" s="356"/>
      <c r="W72" s="22"/>
      <c r="X72" s="22"/>
      <c r="Y72" s="22"/>
      <c r="Z72" s="22"/>
      <c r="AA72" s="357"/>
      <c r="AB72" s="350"/>
      <c r="AC72" s="350"/>
      <c r="AD72" s="350"/>
      <c r="AE72" s="350"/>
    </row>
    <row r="73" spans="1:31" s="13" customFormat="1" ht="13.5" thickBot="1">
      <c r="A73" s="17"/>
      <c r="B73" s="186" t="s">
        <v>207</v>
      </c>
      <c r="C73" s="358">
        <f>SUM(C6:C71)</f>
        <v>2390039471</v>
      </c>
      <c r="D73" s="188">
        <f>SUM(D6:D71)</f>
        <v>2576412</v>
      </c>
      <c r="E73" s="188">
        <f>SUM(E6:E71)</f>
        <v>-8958933</v>
      </c>
      <c r="F73" s="370">
        <f>SUM(F6:F72)</f>
        <v>2383656950</v>
      </c>
      <c r="G73" s="358">
        <f>SUM(G6:G71)</f>
        <v>199822949</v>
      </c>
      <c r="H73" s="358">
        <f>SUM(H6:H71)</f>
        <v>1598583592</v>
      </c>
      <c r="I73" s="187">
        <f>SUM(I6:I71)</f>
        <v>785073358</v>
      </c>
      <c r="J73" s="187">
        <f>SUM(J6:J71)</f>
        <v>196268345</v>
      </c>
      <c r="K73" s="187">
        <f>SUM(K6:K72)</f>
        <v>2275965512.7364993</v>
      </c>
      <c r="L73" s="187">
        <f>SUM(L6:L71)</f>
        <v>107691437.26349999</v>
      </c>
      <c r="M73" s="188">
        <f>SUM(M6:M71)</f>
        <v>107722159.67459632</v>
      </c>
      <c r="N73" s="188">
        <f>SUM(N6:N71)</f>
        <v>-30722.411096334457</v>
      </c>
      <c r="O73" s="18">
        <v>32232</v>
      </c>
      <c r="P73" s="139">
        <f>AVERAGE(P6:P71)</f>
        <v>0.75</v>
      </c>
      <c r="Q73" s="135">
        <v>49580.7951378962</v>
      </c>
      <c r="R73" s="144">
        <f>ROUND(M73*P73/1.142/Q73,0)</f>
        <v>1427</v>
      </c>
      <c r="S73" s="140"/>
      <c r="T73" s="140"/>
      <c r="U73" s="140"/>
      <c r="V73" s="359">
        <f>SUM(V6:V71)</f>
        <v>0</v>
      </c>
      <c r="W73" s="18">
        <f>SUM(W6:W71)</f>
        <v>0</v>
      </c>
      <c r="X73" s="18" t="e">
        <f>SUM(X6:X71)</f>
        <v>#REF!</v>
      </c>
      <c r="Y73" s="18">
        <f>SUM(Y6:Y71)</f>
        <v>2243854176</v>
      </c>
      <c r="Z73" s="18" t="e">
        <f>SUM(Z6:Z71)</f>
        <v>#REF!</v>
      </c>
      <c r="AA73" s="360" t="e">
        <f>Z73/Y73</f>
        <v>#REF!</v>
      </c>
      <c r="AB73" s="12"/>
      <c r="AC73" s="12"/>
      <c r="AD73" s="12"/>
      <c r="AE73" s="12"/>
    </row>
    <row r="74" spans="1:31" s="13" customFormat="1" ht="13.5" thickTop="1">
      <c r="A74" s="149"/>
      <c r="B74" s="756"/>
      <c r="C74" s="759"/>
      <c r="D74" s="758"/>
      <c r="E74" s="758"/>
      <c r="F74" s="759"/>
      <c r="G74" s="757"/>
      <c r="H74" s="757"/>
      <c r="I74" s="757"/>
      <c r="J74" s="757"/>
      <c r="K74" s="757"/>
      <c r="L74" s="757"/>
      <c r="M74" s="758"/>
      <c r="N74" s="758"/>
      <c r="O74" s="140"/>
      <c r="P74" s="152"/>
      <c r="Q74" s="153"/>
      <c r="R74" s="140"/>
      <c r="S74" s="140"/>
      <c r="T74" s="140"/>
      <c r="U74" s="140"/>
      <c r="V74" s="140"/>
      <c r="W74" s="140"/>
      <c r="X74" s="140"/>
      <c r="Y74" s="140"/>
      <c r="Z74" s="140"/>
      <c r="AA74" s="361"/>
      <c r="AB74" s="12"/>
      <c r="AC74" s="12"/>
      <c r="AD74" s="12"/>
      <c r="AE74" s="12"/>
    </row>
    <row r="75" spans="1:31" s="13" customFormat="1" ht="12.75">
      <c r="A75" s="149"/>
      <c r="B75" s="150"/>
      <c r="C75" s="151"/>
      <c r="D75" s="140"/>
      <c r="E75" s="140">
        <f>+E73+D73</f>
        <v>-6382521</v>
      </c>
      <c r="F75" s="140"/>
      <c r="G75" s="140"/>
      <c r="H75" s="151"/>
      <c r="I75" s="151"/>
      <c r="J75" s="151"/>
      <c r="K75" s="151"/>
      <c r="L75" s="151"/>
      <c r="M75" s="140"/>
      <c r="N75" s="140"/>
      <c r="O75" s="140"/>
      <c r="P75" s="152"/>
      <c r="Q75" s="153"/>
      <c r="R75" s="140"/>
      <c r="S75" s="140"/>
      <c r="T75" s="140"/>
      <c r="U75" s="140"/>
      <c r="V75" s="140"/>
      <c r="W75" s="140"/>
      <c r="X75" s="140"/>
      <c r="Y75" s="140"/>
      <c r="Z75" s="140"/>
      <c r="AA75" s="361"/>
      <c r="AB75" s="12"/>
      <c r="AC75" s="12"/>
      <c r="AD75" s="12"/>
      <c r="AE75" s="12"/>
    </row>
    <row r="76" ht="12.75">
      <c r="E76" s="58"/>
    </row>
    <row r="78" spans="5:10" ht="25.5">
      <c r="E78" s="461" t="s">
        <v>694</v>
      </c>
      <c r="H78" s="368" t="s">
        <v>539</v>
      </c>
      <c r="J78" s="362"/>
    </row>
    <row r="79" ht="12.75">
      <c r="E79" s="612" t="s">
        <v>695</v>
      </c>
    </row>
    <row r="80" spans="3:5" ht="12.75">
      <c r="C80" s="633" t="s">
        <v>707</v>
      </c>
      <c r="D80" s="634"/>
      <c r="E80" s="461"/>
    </row>
    <row r="81" spans="3:5" ht="12.75">
      <c r="C81" s="2" t="s">
        <v>167</v>
      </c>
      <c r="D81" s="632">
        <v>4800</v>
      </c>
      <c r="E81" s="2" t="s">
        <v>710</v>
      </c>
    </row>
    <row r="82" spans="3:5" ht="12.75">
      <c r="C82" s="2" t="s">
        <v>177</v>
      </c>
      <c r="D82" s="632">
        <v>-6645</v>
      </c>
      <c r="E82" s="2" t="s">
        <v>711</v>
      </c>
    </row>
    <row r="83" spans="3:5" ht="12.75">
      <c r="C83" s="2" t="s">
        <v>189</v>
      </c>
      <c r="D83" s="632">
        <v>3162</v>
      </c>
      <c r="E83" s="2" t="s">
        <v>712</v>
      </c>
    </row>
    <row r="84" spans="3:5" ht="12.75">
      <c r="C84" s="2" t="s">
        <v>193</v>
      </c>
      <c r="D84" s="632">
        <v>6312</v>
      </c>
      <c r="E84" s="2" t="s">
        <v>713</v>
      </c>
    </row>
  </sheetData>
  <mergeCells count="20">
    <mergeCell ref="AA3:AA4"/>
    <mergeCell ref="W3:W4"/>
    <mergeCell ref="X3:X4"/>
    <mergeCell ref="Y3:Y4"/>
    <mergeCell ref="Z3:Z4"/>
    <mergeCell ref="S1:Z1"/>
    <mergeCell ref="D3:E3"/>
    <mergeCell ref="C3:C4"/>
    <mergeCell ref="J3:J4"/>
    <mergeCell ref="S3:S4"/>
    <mergeCell ref="T3:T4"/>
    <mergeCell ref="U3:U4"/>
    <mergeCell ref="V3:V4"/>
    <mergeCell ref="D2:E2"/>
    <mergeCell ref="I1:K1"/>
    <mergeCell ref="H3:H4"/>
    <mergeCell ref="I3:I4"/>
    <mergeCell ref="K3:K4"/>
    <mergeCell ref="C1:F1"/>
    <mergeCell ref="F3:F4"/>
  </mergeCells>
  <printOptions horizontalCentered="1"/>
  <pageMargins left="0.43" right="0.45" top="1.34" bottom="0.64" header="0.46" footer="0.21"/>
  <pageSetup firstPageNumber="2" useFirstPageNumber="1" horizontalDpi="600" verticalDpi="600" orientation="portrait" paperSize="5" scale="80" r:id="rId2"/>
  <headerFooter alignWithMargins="0">
    <oddHeader>&amp;L&amp;"Arial,Bold"&amp;18TABLE 2 - - 2001-2002 MFP DISTRIBUTION AND ADJUSTMENTS</oddHeader>
    <oddFooter>&amp;L&amp;F, &amp;A, &amp;R &amp;P</oddFooter>
  </headerFooter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Z872"/>
  <sheetViews>
    <sheetView zoomScale="85" zoomScaleNormal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4" sqref="F4:O4"/>
    </sheetView>
  </sheetViews>
  <sheetFormatPr defaultColWidth="9.140625" defaultRowHeight="12.75"/>
  <cols>
    <col min="1" max="1" width="4.00390625" style="1" bestFit="1" customWidth="1"/>
    <col min="2" max="2" width="21.00390625" style="2" customWidth="1"/>
    <col min="3" max="3" width="13.57421875" style="2" customWidth="1"/>
    <col min="4" max="4" width="10.7109375" style="2" hidden="1" customWidth="1"/>
    <col min="5" max="5" width="12.8515625" style="2" hidden="1" customWidth="1"/>
    <col min="6" max="6" width="9.140625" style="3" customWidth="1"/>
    <col min="7" max="7" width="9.140625" style="2" hidden="1" customWidth="1"/>
    <col min="8" max="8" width="11.8515625" style="2" hidden="1" customWidth="1"/>
    <col min="9" max="9" width="9.7109375" style="2" customWidth="1"/>
    <col min="10" max="10" width="11.28125" style="2" hidden="1" customWidth="1"/>
    <col min="11" max="11" width="12.7109375" style="2" hidden="1" customWidth="1"/>
    <col min="12" max="12" width="12.00390625" style="2" customWidth="1"/>
    <col min="13" max="13" width="12.00390625" style="2" hidden="1" customWidth="1"/>
    <col min="14" max="14" width="11.7109375" style="2" hidden="1" customWidth="1"/>
    <col min="15" max="15" width="8.7109375" style="2" customWidth="1"/>
    <col min="16" max="16" width="11.28125" style="2" hidden="1" customWidth="1"/>
    <col min="17" max="17" width="0.2890625" style="4" hidden="1" customWidth="1"/>
    <col min="18" max="18" width="13.00390625" style="2" hidden="1" customWidth="1"/>
    <col min="19" max="19" width="8.8515625" style="2" customWidth="1"/>
    <col min="20" max="20" width="9.140625" style="2" customWidth="1"/>
    <col min="21" max="21" width="10.7109375" style="2" customWidth="1"/>
    <col min="22" max="22" width="10.28125" style="2" bestFit="1" customWidth="1"/>
    <col min="23" max="23" width="14.28125" style="2" bestFit="1" customWidth="1"/>
    <col min="24" max="24" width="10.7109375" style="2" customWidth="1"/>
    <col min="25" max="25" width="11.57421875" style="2" customWidth="1"/>
    <col min="26" max="26" width="11.00390625" style="2" bestFit="1" customWidth="1"/>
    <col min="27" max="27" width="15.28125" style="2" customWidth="1"/>
    <col min="28" max="28" width="9.421875" style="2" customWidth="1"/>
    <col min="29" max="29" width="14.28125" style="2" customWidth="1"/>
    <col min="30" max="30" width="7.8515625" style="2" customWidth="1"/>
    <col min="31" max="31" width="16.7109375" style="2" customWidth="1"/>
    <col min="32" max="32" width="14.7109375" style="2" customWidth="1"/>
    <col min="33" max="33" width="13.7109375" style="2" customWidth="1"/>
    <col min="34" max="34" width="14.7109375" style="2" customWidth="1"/>
    <col min="35" max="35" width="13.421875" style="2" customWidth="1"/>
    <col min="36" max="36" width="13.140625" style="2" customWidth="1"/>
    <col min="37" max="37" width="8.8515625" style="2" customWidth="1"/>
    <col min="38" max="38" width="12.57421875" style="2" customWidth="1"/>
    <col min="39" max="39" width="13.00390625" style="2" customWidth="1"/>
    <col min="40" max="40" width="15.7109375" style="2" customWidth="1"/>
    <col min="41" max="41" width="7.28125" style="2" customWidth="1"/>
    <col min="42" max="42" width="15.7109375" style="2" customWidth="1"/>
    <col min="43" max="43" width="7.7109375" style="2" customWidth="1"/>
    <col min="44" max="44" width="14.28125" style="2" bestFit="1" customWidth="1"/>
    <col min="45" max="45" width="13.7109375" style="2" customWidth="1"/>
    <col min="46" max="46" width="10.421875" style="2" customWidth="1"/>
    <col min="47" max="47" width="6.7109375" style="2" customWidth="1"/>
    <col min="48" max="48" width="10.140625" style="2" customWidth="1"/>
    <col min="49" max="49" width="6.140625" style="2" customWidth="1"/>
    <col min="50" max="50" width="14.140625" style="2" customWidth="1"/>
    <col min="51" max="51" width="8.28125" style="2" customWidth="1"/>
    <col min="52" max="52" width="6.57421875" style="2" customWidth="1"/>
    <col min="53" max="53" width="11.00390625" style="2" customWidth="1"/>
    <col min="54" max="54" width="15.57421875" style="2" customWidth="1"/>
    <col min="55" max="55" width="13.421875" style="2" customWidth="1"/>
    <col min="56" max="56" width="6.8515625" style="0" customWidth="1"/>
    <col min="57" max="57" width="13.7109375" style="0" customWidth="1"/>
    <col min="58" max="58" width="14.28125" style="0" customWidth="1"/>
    <col min="59" max="59" width="7.28125" style="0" customWidth="1"/>
    <col min="157" max="16384" width="9.140625" style="2" customWidth="1"/>
  </cols>
  <sheetData>
    <row r="2" spans="1:55" ht="44.25" customHeight="1" thickBot="1">
      <c r="A2" s="821"/>
      <c r="B2" s="816"/>
      <c r="C2" s="854" t="s">
        <v>302</v>
      </c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460"/>
      <c r="Y2" s="119"/>
      <c r="Z2" s="119"/>
      <c r="AA2" s="119"/>
      <c r="AB2" s="119"/>
      <c r="AE2" s="764" t="s">
        <v>690</v>
      </c>
      <c r="AF2" s="460"/>
      <c r="AG2" s="119"/>
      <c r="AH2" s="119"/>
      <c r="AI2" s="119"/>
      <c r="AL2" s="119"/>
      <c r="AM2" s="119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18"/>
      <c r="BC2" s="118"/>
    </row>
    <row r="3" spans="1:59" ht="25.5">
      <c r="A3" s="817"/>
      <c r="B3" s="815"/>
      <c r="F3" s="2"/>
      <c r="Q3" s="2"/>
      <c r="X3" s="116"/>
      <c r="AF3" s="120"/>
      <c r="AG3" s="121"/>
      <c r="AH3" s="121"/>
      <c r="AI3" s="121"/>
      <c r="AJ3" s="121"/>
      <c r="AK3" s="121"/>
      <c r="AL3" s="121"/>
      <c r="AM3" s="122"/>
      <c r="AY3" s="116"/>
      <c r="AZ3" s="116"/>
      <c r="BE3" s="851" t="s">
        <v>688</v>
      </c>
      <c r="BF3" s="852"/>
      <c r="BG3" s="853"/>
    </row>
    <row r="4" spans="1:156" s="10" customFormat="1" ht="53.25" customHeight="1">
      <c r="A4" s="819"/>
      <c r="B4" s="820"/>
      <c r="C4" s="735" t="s">
        <v>650</v>
      </c>
      <c r="D4" s="512" t="s">
        <v>686</v>
      </c>
      <c r="E4" s="449" t="s">
        <v>376</v>
      </c>
      <c r="F4" s="818" t="s">
        <v>599</v>
      </c>
      <c r="G4" s="822" t="s">
        <v>686</v>
      </c>
      <c r="H4" s="449" t="s">
        <v>600</v>
      </c>
      <c r="I4" s="818" t="s">
        <v>601</v>
      </c>
      <c r="J4" s="822" t="s">
        <v>686</v>
      </c>
      <c r="K4" s="449" t="s">
        <v>377</v>
      </c>
      <c r="L4" s="818" t="s">
        <v>602</v>
      </c>
      <c r="M4" s="822" t="s">
        <v>686</v>
      </c>
      <c r="N4" s="453" t="s">
        <v>378</v>
      </c>
      <c r="O4" s="818" t="s">
        <v>603</v>
      </c>
      <c r="P4" s="450" t="s">
        <v>379</v>
      </c>
      <c r="Q4" s="450" t="s">
        <v>380</v>
      </c>
      <c r="R4" s="450" t="s">
        <v>381</v>
      </c>
      <c r="S4" s="737" t="s">
        <v>382</v>
      </c>
      <c r="T4" s="738" t="s">
        <v>312</v>
      </c>
      <c r="U4" s="735" t="s">
        <v>386</v>
      </c>
      <c r="V4" s="736">
        <v>3188</v>
      </c>
      <c r="W4" s="735" t="s">
        <v>383</v>
      </c>
      <c r="X4" s="737" t="s">
        <v>384</v>
      </c>
      <c r="Y4" s="737" t="s">
        <v>385</v>
      </c>
      <c r="Z4" s="737" t="s">
        <v>313</v>
      </c>
      <c r="AA4" s="737" t="s">
        <v>604</v>
      </c>
      <c r="AB4" s="737" t="s">
        <v>314</v>
      </c>
      <c r="AC4" s="737" t="s">
        <v>605</v>
      </c>
      <c r="AD4" s="761" t="s">
        <v>315</v>
      </c>
      <c r="AE4" s="763" t="s">
        <v>596</v>
      </c>
      <c r="AF4" s="737" t="s">
        <v>606</v>
      </c>
      <c r="AG4" s="737" t="s">
        <v>607</v>
      </c>
      <c r="AH4" s="737" t="s">
        <v>316</v>
      </c>
      <c r="AI4" s="737" t="s">
        <v>317</v>
      </c>
      <c r="AJ4" s="737" t="s">
        <v>608</v>
      </c>
      <c r="AK4" s="737" t="s">
        <v>318</v>
      </c>
      <c r="AL4" s="737" t="s">
        <v>609</v>
      </c>
      <c r="AM4" s="737" t="s">
        <v>319</v>
      </c>
      <c r="AN4" s="737" t="s">
        <v>610</v>
      </c>
      <c r="AO4" s="737" t="s">
        <v>611</v>
      </c>
      <c r="AP4" s="737" t="s">
        <v>612</v>
      </c>
      <c r="AQ4" s="737" t="s">
        <v>613</v>
      </c>
      <c r="AR4" s="737" t="s">
        <v>614</v>
      </c>
      <c r="AS4" s="737" t="s">
        <v>615</v>
      </c>
      <c r="AT4" s="737" t="s">
        <v>616</v>
      </c>
      <c r="AU4" s="450"/>
      <c r="AV4" s="737" t="s">
        <v>617</v>
      </c>
      <c r="AW4" s="450"/>
      <c r="AX4" s="737" t="s">
        <v>618</v>
      </c>
      <c r="AY4" s="737" t="s">
        <v>619</v>
      </c>
      <c r="AZ4" s="450"/>
      <c r="BA4" s="737" t="s">
        <v>620</v>
      </c>
      <c r="BB4" s="737" t="s">
        <v>621</v>
      </c>
      <c r="BC4" s="737" t="s">
        <v>622</v>
      </c>
      <c r="BD4" s="452"/>
      <c r="BE4" s="813" t="s">
        <v>689</v>
      </c>
      <c r="BF4" s="807" t="s">
        <v>652</v>
      </c>
      <c r="BG4" s="808"/>
      <c r="BH4" s="452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6:156" s="10" customFormat="1" ht="14.25" customHeight="1" thickBot="1">
      <c r="F5" s="189">
        <v>0.17</v>
      </c>
      <c r="G5" s="190"/>
      <c r="H5" s="190"/>
      <c r="I5" s="191">
        <v>0.05</v>
      </c>
      <c r="J5" s="190"/>
      <c r="K5" s="190"/>
      <c r="L5" s="191">
        <v>1.5</v>
      </c>
      <c r="M5" s="190"/>
      <c r="N5" s="190"/>
      <c r="O5" s="189">
        <v>0.6</v>
      </c>
      <c r="P5" s="363">
        <v>7500</v>
      </c>
      <c r="Q5" s="363">
        <v>37500</v>
      </c>
      <c r="R5" s="365"/>
      <c r="Y5" s="10" t="s">
        <v>5</v>
      </c>
      <c r="Z5" s="10" t="s">
        <v>5</v>
      </c>
      <c r="AA5" s="170">
        <v>0.35</v>
      </c>
      <c r="AB5" s="10" t="s">
        <v>5</v>
      </c>
      <c r="AC5" s="10" t="s">
        <v>5</v>
      </c>
      <c r="AD5" s="762" t="s">
        <v>5</v>
      </c>
      <c r="AE5" s="762"/>
      <c r="AF5" s="10" t="s">
        <v>5</v>
      </c>
      <c r="AH5" s="197">
        <v>0.33</v>
      </c>
      <c r="AI5" s="10" t="s">
        <v>5</v>
      </c>
      <c r="AJ5" s="197">
        <v>0.4</v>
      </c>
      <c r="AK5" s="10" t="s">
        <v>5</v>
      </c>
      <c r="AL5" s="197">
        <v>0.4</v>
      </c>
      <c r="AT5" s="10" t="s">
        <v>5</v>
      </c>
      <c r="AV5" s="10" t="s">
        <v>5</v>
      </c>
      <c r="AX5" s="10" t="s">
        <v>5</v>
      </c>
      <c r="AY5" s="10" t="s">
        <v>5</v>
      </c>
      <c r="BA5" s="10" t="s">
        <v>5</v>
      </c>
      <c r="BB5" s="10" t="s">
        <v>5</v>
      </c>
      <c r="BD5"/>
      <c r="BE5" s="814"/>
      <c r="BF5" s="810">
        <v>2060</v>
      </c>
      <c r="BG5" s="812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s="1" customFormat="1" ht="81.75" customHeight="1">
      <c r="A6" s="331" t="s">
        <v>308</v>
      </c>
      <c r="B6" s="331" t="s">
        <v>111</v>
      </c>
      <c r="C6" s="462" t="s">
        <v>594</v>
      </c>
      <c r="D6" s="332" t="s">
        <v>72</v>
      </c>
      <c r="E6" s="332" t="s">
        <v>73</v>
      </c>
      <c r="F6" s="332" t="s">
        <v>474</v>
      </c>
      <c r="G6" s="332" t="s">
        <v>74</v>
      </c>
      <c r="H6" s="332" t="s">
        <v>75</v>
      </c>
      <c r="I6" s="332" t="s">
        <v>475</v>
      </c>
      <c r="J6" s="332" t="s">
        <v>76</v>
      </c>
      <c r="K6" s="332" t="s">
        <v>77</v>
      </c>
      <c r="L6" s="332" t="s">
        <v>476</v>
      </c>
      <c r="M6" s="332" t="s">
        <v>78</v>
      </c>
      <c r="N6" s="332" t="s">
        <v>79</v>
      </c>
      <c r="O6" s="332" t="s">
        <v>477</v>
      </c>
      <c r="P6" s="332" t="s">
        <v>80</v>
      </c>
      <c r="Q6" s="333" t="s">
        <v>537</v>
      </c>
      <c r="R6" s="332" t="s">
        <v>81</v>
      </c>
      <c r="S6" s="332" t="s">
        <v>114</v>
      </c>
      <c r="T6" s="332" t="s">
        <v>115</v>
      </c>
      <c r="U6" s="332" t="s">
        <v>374</v>
      </c>
      <c r="V6" s="332" t="s">
        <v>112</v>
      </c>
      <c r="W6" s="213" t="s">
        <v>127</v>
      </c>
      <c r="X6" s="332" t="s">
        <v>116</v>
      </c>
      <c r="Y6" s="332" t="s">
        <v>117</v>
      </c>
      <c r="Z6" s="332" t="s">
        <v>118</v>
      </c>
      <c r="AA6" s="332" t="s">
        <v>119</v>
      </c>
      <c r="AB6" s="332" t="s">
        <v>120</v>
      </c>
      <c r="AC6" s="523" t="s">
        <v>128</v>
      </c>
      <c r="AD6" s="332" t="s">
        <v>121</v>
      </c>
      <c r="AE6" s="739" t="s">
        <v>595</v>
      </c>
      <c r="AF6" s="332" t="s">
        <v>122</v>
      </c>
      <c r="AG6" s="332" t="s">
        <v>123</v>
      </c>
      <c r="AH6" s="332" t="s">
        <v>523</v>
      </c>
      <c r="AI6" s="213" t="s">
        <v>522</v>
      </c>
      <c r="AJ6" s="523" t="s">
        <v>521</v>
      </c>
      <c r="AK6" s="332" t="s">
        <v>124</v>
      </c>
      <c r="AL6" s="332" t="s">
        <v>125</v>
      </c>
      <c r="AM6" s="332" t="s">
        <v>126</v>
      </c>
      <c r="AN6" s="462" t="s">
        <v>658</v>
      </c>
      <c r="AO6" s="332" t="s">
        <v>500</v>
      </c>
      <c r="AP6" s="462" t="s">
        <v>659</v>
      </c>
      <c r="AQ6" s="332" t="s">
        <v>500</v>
      </c>
      <c r="AR6" s="523" t="s">
        <v>510</v>
      </c>
      <c r="AS6" s="213" t="s">
        <v>497</v>
      </c>
      <c r="AT6" s="523" t="s">
        <v>508</v>
      </c>
      <c r="AU6" s="332" t="s">
        <v>487</v>
      </c>
      <c r="AV6" s="332" t="s">
        <v>509</v>
      </c>
      <c r="AW6" s="332" t="s">
        <v>487</v>
      </c>
      <c r="AX6" s="213" t="s">
        <v>320</v>
      </c>
      <c r="AY6" s="332" t="s">
        <v>375</v>
      </c>
      <c r="AZ6" s="332" t="s">
        <v>487</v>
      </c>
      <c r="BA6" s="332" t="s">
        <v>536</v>
      </c>
      <c r="BB6" s="462" t="s">
        <v>691</v>
      </c>
      <c r="BC6" s="213" t="s">
        <v>492</v>
      </c>
      <c r="BD6" s="213" t="s">
        <v>487</v>
      </c>
      <c r="BE6" s="809" t="s">
        <v>597</v>
      </c>
      <c r="BF6" s="379" t="s">
        <v>733</v>
      </c>
      <c r="BG6" s="811" t="s">
        <v>487</v>
      </c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s="5" customFormat="1" ht="12.75">
      <c r="A7" s="334"/>
      <c r="B7" s="334"/>
      <c r="C7" s="210" t="s">
        <v>131</v>
      </c>
      <c r="D7" s="211" t="s">
        <v>225</v>
      </c>
      <c r="E7" s="211" t="s">
        <v>226</v>
      </c>
      <c r="F7" s="210" t="s">
        <v>373</v>
      </c>
      <c r="G7" s="210" t="s">
        <v>208</v>
      </c>
      <c r="H7" s="211" t="s">
        <v>209</v>
      </c>
      <c r="I7" s="210" t="s">
        <v>132</v>
      </c>
      <c r="J7" s="210" t="s">
        <v>210</v>
      </c>
      <c r="K7" s="210" t="s">
        <v>211</v>
      </c>
      <c r="L7" s="210" t="s">
        <v>133</v>
      </c>
      <c r="M7" s="211" t="s">
        <v>212</v>
      </c>
      <c r="N7" s="211" t="s">
        <v>213</v>
      </c>
      <c r="O7" s="210" t="s">
        <v>134</v>
      </c>
      <c r="P7" s="210" t="s">
        <v>666</v>
      </c>
      <c r="Q7" s="211"/>
      <c r="R7" s="211"/>
      <c r="S7" s="210" t="s">
        <v>135</v>
      </c>
      <c r="T7" s="210" t="s">
        <v>136</v>
      </c>
      <c r="U7" s="210" t="s">
        <v>137</v>
      </c>
      <c r="V7" s="210" t="s">
        <v>138</v>
      </c>
      <c r="W7" s="210" t="s">
        <v>139</v>
      </c>
      <c r="X7" s="210" t="s">
        <v>140</v>
      </c>
      <c r="Y7" s="210" t="s">
        <v>141</v>
      </c>
      <c r="Z7" s="210" t="s">
        <v>214</v>
      </c>
      <c r="AA7" s="210" t="s">
        <v>321</v>
      </c>
      <c r="AB7" s="210" t="s">
        <v>322</v>
      </c>
      <c r="AC7" s="210" t="s">
        <v>215</v>
      </c>
      <c r="AD7" s="210" t="s">
        <v>323</v>
      </c>
      <c r="AE7" s="500" t="s">
        <v>324</v>
      </c>
      <c r="AF7" s="210" t="s">
        <v>325</v>
      </c>
      <c r="AG7" s="210" t="s">
        <v>326</v>
      </c>
      <c r="AH7" s="210" t="s">
        <v>327</v>
      </c>
      <c r="AI7" s="210" t="s">
        <v>328</v>
      </c>
      <c r="AJ7" s="210" t="s">
        <v>329</v>
      </c>
      <c r="AK7" s="210" t="s">
        <v>218</v>
      </c>
      <c r="AL7" s="210" t="s">
        <v>219</v>
      </c>
      <c r="AM7" s="210" t="s">
        <v>220</v>
      </c>
      <c r="AN7" s="210" t="s">
        <v>330</v>
      </c>
      <c r="AO7" s="210" t="s">
        <v>331</v>
      </c>
      <c r="AP7" s="210" t="s">
        <v>332</v>
      </c>
      <c r="AQ7" s="210" t="s">
        <v>333</v>
      </c>
      <c r="AR7" s="210" t="s">
        <v>334</v>
      </c>
      <c r="AS7" s="210" t="s">
        <v>335</v>
      </c>
      <c r="AT7" s="210" t="s">
        <v>336</v>
      </c>
      <c r="AU7" s="210" t="s">
        <v>301</v>
      </c>
      <c r="AV7" s="210" t="s">
        <v>337</v>
      </c>
      <c r="AW7" s="210" t="s">
        <v>511</v>
      </c>
      <c r="AX7" s="210" t="s">
        <v>512</v>
      </c>
      <c r="AY7" s="210" t="s">
        <v>513</v>
      </c>
      <c r="AZ7" s="210" t="s">
        <v>514</v>
      </c>
      <c r="BA7" s="210" t="s">
        <v>515</v>
      </c>
      <c r="BB7" s="210" t="s">
        <v>516</v>
      </c>
      <c r="BC7" s="210" t="s">
        <v>517</v>
      </c>
      <c r="BD7" s="210" t="s">
        <v>518</v>
      </c>
      <c r="BE7" s="500" t="s">
        <v>598</v>
      </c>
      <c r="BF7" s="210" t="s">
        <v>519</v>
      </c>
      <c r="BG7" s="517" t="s">
        <v>520</v>
      </c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59" ht="12.75">
      <c r="A8" s="25"/>
      <c r="B8" s="26"/>
      <c r="C8" s="26"/>
      <c r="D8" s="25" t="s">
        <v>113</v>
      </c>
      <c r="E8" s="25" t="s">
        <v>113</v>
      </c>
      <c r="F8" s="25"/>
      <c r="G8" s="25" t="s">
        <v>113</v>
      </c>
      <c r="H8" s="25" t="s">
        <v>113</v>
      </c>
      <c r="I8" s="26"/>
      <c r="J8" s="27" t="s">
        <v>113</v>
      </c>
      <c r="K8" s="27" t="s">
        <v>113</v>
      </c>
      <c r="L8" s="112"/>
      <c r="M8" s="27" t="s">
        <v>113</v>
      </c>
      <c r="N8" s="27" t="s">
        <v>113</v>
      </c>
      <c r="O8" s="212"/>
      <c r="P8" s="27" t="s">
        <v>113</v>
      </c>
      <c r="Q8" s="27" t="s">
        <v>113</v>
      </c>
      <c r="R8" s="27" t="s">
        <v>113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8"/>
      <c r="AD8" s="26"/>
      <c r="AE8" s="740"/>
      <c r="AF8" s="26"/>
      <c r="AG8" s="26"/>
      <c r="AH8" s="26"/>
      <c r="AI8" s="26"/>
      <c r="AJ8" s="28"/>
      <c r="AK8" s="26"/>
      <c r="AL8" s="26"/>
      <c r="AM8" s="26"/>
      <c r="AN8" s="26"/>
      <c r="AO8" s="26"/>
      <c r="AP8" s="26"/>
      <c r="AQ8" s="26"/>
      <c r="AR8" s="611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362"/>
      <c r="BF8" s="117"/>
      <c r="BG8" s="518"/>
    </row>
    <row r="9" spans="1:156" s="6" customFormat="1" ht="12.75">
      <c r="A9" s="666">
        <v>1</v>
      </c>
      <c r="B9" s="495" t="s">
        <v>6</v>
      </c>
      <c r="C9" s="495">
        <f>+'Table 8 Membership'!U9</f>
        <v>9585</v>
      </c>
      <c r="D9" s="495">
        <v>6142</v>
      </c>
      <c r="E9" s="469">
        <f>ROUND(V9*F9,0)</f>
        <v>3328272</v>
      </c>
      <c r="F9" s="667">
        <f>ROUND(D9*F$5,0)</f>
        <v>1044</v>
      </c>
      <c r="G9" s="495">
        <f>+'[5]Sheet1'!C3</f>
        <v>3163</v>
      </c>
      <c r="H9" s="469">
        <f>ROUND(I9*V9,0)</f>
        <v>503704</v>
      </c>
      <c r="I9" s="667">
        <f>ROUND(G9*I$5,0)</f>
        <v>158</v>
      </c>
      <c r="J9" s="495">
        <f>+'[8]A'!C8</f>
        <v>1724</v>
      </c>
      <c r="K9" s="469">
        <f>ROUND(L9*V9,0)</f>
        <v>8244168</v>
      </c>
      <c r="L9" s="667">
        <f>ROUND(J9*L$5,0)</f>
        <v>2586</v>
      </c>
      <c r="M9" s="495">
        <f>+'[8]A'!D8</f>
        <v>103</v>
      </c>
      <c r="N9" s="35">
        <f>ROUND(O9*V9,0)</f>
        <v>197656</v>
      </c>
      <c r="O9" s="36">
        <f>ROUND(M9*O$5,0)</f>
        <v>62</v>
      </c>
      <c r="P9" s="36">
        <f>IF(C9&lt;$P$5,$P$5-C9,0)</f>
        <v>0</v>
      </c>
      <c r="Q9" s="366">
        <f>ROUND(P9/$Q$5,5)</f>
        <v>0</v>
      </c>
      <c r="R9" s="35">
        <f>ROUND(S9*V9,0)</f>
        <v>0</v>
      </c>
      <c r="S9" s="34">
        <f>ROUND(C9*Q9,0)</f>
        <v>0</v>
      </c>
      <c r="T9" s="34">
        <f>SUM(F9+I9+L9+O9+S9,0)</f>
        <v>3850</v>
      </c>
      <c r="U9" s="34">
        <f>T9+C9</f>
        <v>13435</v>
      </c>
      <c r="V9" s="35">
        <f>V$76</f>
        <v>3188</v>
      </c>
      <c r="W9" s="35">
        <f>ROUND(U9*V9,0)</f>
        <v>42830780</v>
      </c>
      <c r="X9" s="38">
        <f>'Table 6 Local Wealth Factor'!L8</f>
        <v>0.66016997</v>
      </c>
      <c r="Y9" s="38">
        <f>ROUND(U9/U$76,8)</f>
        <v>0.01384949</v>
      </c>
      <c r="Z9" s="38">
        <f>ROUND(X9*Y9,8)</f>
        <v>0.00914302</v>
      </c>
      <c r="AA9" s="35">
        <f>IF(W$76*Z9*AA$5&lt;W9,ROUND(W$76*Z9*AA$5,0),W9)</f>
        <v>9896463</v>
      </c>
      <c r="AB9" s="39">
        <f>ROUND(AA9/W9,4)</f>
        <v>0.2311</v>
      </c>
      <c r="AC9" s="524">
        <f>IF(W9-AA9&gt;0,W9-AA9,0)</f>
        <v>32934317</v>
      </c>
      <c r="AD9" s="39">
        <f>ROUND(AC9/W9,4)</f>
        <v>0.7689</v>
      </c>
      <c r="AE9" s="595">
        <f>'Table 7 Local Revenue'!AL8</f>
        <v>10477591</v>
      </c>
      <c r="AF9" s="35">
        <f>IF(AE9-AA9&gt;0,AE9-AA9,0)</f>
        <v>581128</v>
      </c>
      <c r="AG9" s="42">
        <f>IF(AE9-AA9&lt;0,AE9-AA9,0)</f>
        <v>0</v>
      </c>
      <c r="AH9" s="35">
        <f>ROUND(W9*AH$5,0)</f>
        <v>14134157</v>
      </c>
      <c r="AI9" s="40">
        <f>IF(AF9&lt;AH9,AF9,AH9)</f>
        <v>581128</v>
      </c>
      <c r="AJ9" s="524">
        <f>IF((1-((1-AJ$5)*X9))*AI9&gt;0,ROUND((1-((1-AJ$5)*X9))*AI9,0),0)</f>
        <v>350942</v>
      </c>
      <c r="AK9" s="39">
        <f>IF(AI9=0,0,AJ9/AI9)</f>
        <v>0.6038979364270867</v>
      </c>
      <c r="AL9" s="35">
        <f>IF(((1-((1-AL$5)*X9))*AH9)-AJ9&gt;0,ROUND(((1-((1-AL$5)*X9))*AH9)-AJ9,0),0)</f>
        <v>8184647</v>
      </c>
      <c r="AM9" s="35">
        <f>AI9+AJ9</f>
        <v>932070</v>
      </c>
      <c r="AN9" s="35">
        <f>+AJ9+AC9</f>
        <v>33285259</v>
      </c>
      <c r="AO9" s="35">
        <f aca="true" t="shared" si="0" ref="AO9:AO40">ROUND(AN9/C9,2)</f>
        <v>3472.64</v>
      </c>
      <c r="AP9" s="35">
        <f>'Table 4 Level 3'!AE6</f>
        <v>1678689</v>
      </c>
      <c r="AQ9" s="35">
        <f>ROUND(AP9/C9,2)</f>
        <v>175.14</v>
      </c>
      <c r="AR9" s="524">
        <f>+AN9+AP9</f>
        <v>34963948</v>
      </c>
      <c r="AS9" s="35">
        <f>AR9-'Table 2 Distribution &amp; Adjusts'!K6</f>
        <v>1376066.6615305394</v>
      </c>
      <c r="AT9" s="524">
        <f aca="true" t="shared" si="1" ref="AT9:AT40">ROUND(AR9/C9,2)</f>
        <v>3647.78</v>
      </c>
      <c r="AU9" s="34">
        <f>RANK(AT9,$AT$9:$AT$74)</f>
        <v>36</v>
      </c>
      <c r="AV9" s="39">
        <f aca="true" t="shared" si="2" ref="AV9:AV40">ROUND(AR9/BB9,4)</f>
        <v>0.7694</v>
      </c>
      <c r="AW9" s="34">
        <f>RANK(AV9,$AV$9:$AV$74)</f>
        <v>13</v>
      </c>
      <c r="AX9" s="35">
        <f>ROUND(AA9+AI9,2)</f>
        <v>10477591</v>
      </c>
      <c r="AY9" s="35">
        <f aca="true" t="shared" si="3" ref="AY9:AY40">ROUND(AX9/C9,2)</f>
        <v>1093.12</v>
      </c>
      <c r="AZ9" s="34">
        <f>RANK(AY9,$AY$9:$AY$74)</f>
        <v>57</v>
      </c>
      <c r="BA9" s="39">
        <f>ROUND(AX9/BB9,4)</f>
        <v>0.2306</v>
      </c>
      <c r="BB9" s="35">
        <f aca="true" t="shared" si="4" ref="BB9:BB40">ROUND(AR9+AX9,2)</f>
        <v>45441539</v>
      </c>
      <c r="BC9" s="35">
        <f aca="true" t="shared" si="5" ref="BC9:BC40">ROUND(BB9/C9,2)</f>
        <v>4740.9</v>
      </c>
      <c r="BD9" s="34">
        <f>RANK(BC9,$BC$9:$BC$74)</f>
        <v>62</v>
      </c>
      <c r="BE9" s="801">
        <v>30427.3163086993</v>
      </c>
      <c r="BF9" s="383">
        <f>+BE9+$BF$5</f>
        <v>32487.3163086993</v>
      </c>
      <c r="BG9" s="519">
        <f>RANK(BF9,$BF$9:$BF$74)</f>
        <v>51</v>
      </c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s="6" customFormat="1" ht="12.75">
      <c r="A10" s="666">
        <v>2</v>
      </c>
      <c r="B10" s="495" t="s">
        <v>7</v>
      </c>
      <c r="C10" s="495">
        <f>+'Table 8 Membership'!U10</f>
        <v>4152</v>
      </c>
      <c r="D10" s="495">
        <v>2339</v>
      </c>
      <c r="E10" s="469">
        <f aca="true" t="shared" si="6" ref="E10:E73">ROUND(V10*F10,0)</f>
        <v>1268824</v>
      </c>
      <c r="F10" s="667">
        <f>ROUND(D10*F$5,0)</f>
        <v>398</v>
      </c>
      <c r="G10" s="495">
        <f>+'[5]Sheet1'!C4</f>
        <v>1560</v>
      </c>
      <c r="H10" s="469">
        <f aca="true" t="shared" si="7" ref="H10:H73">ROUND(I10*V10,0)</f>
        <v>248664</v>
      </c>
      <c r="I10" s="495">
        <f aca="true" t="shared" si="8" ref="I10:I73">ROUND(G10*I$5,0)</f>
        <v>78</v>
      </c>
      <c r="J10" s="495">
        <f>+'[8]A'!C9</f>
        <v>470</v>
      </c>
      <c r="K10" s="469">
        <f aca="true" t="shared" si="9" ref="K10:K73">ROUND(L10*V10,0)</f>
        <v>2247540</v>
      </c>
      <c r="L10" s="495">
        <f aca="true" t="shared" si="10" ref="L10:L73">ROUND(J10*L$5,0)</f>
        <v>705</v>
      </c>
      <c r="M10" s="495">
        <f>+'[8]A'!D9</f>
        <v>126</v>
      </c>
      <c r="N10" s="35">
        <f aca="true" t="shared" si="11" ref="N10:N73">ROUND(O10*V10,0)</f>
        <v>242288</v>
      </c>
      <c r="O10" s="34">
        <f aca="true" t="shared" si="12" ref="O10:O73">ROUND(M10*O$5,0)</f>
        <v>76</v>
      </c>
      <c r="P10" s="34">
        <f aca="true" t="shared" si="13" ref="P10:P73">IF(C10&lt;$P$5,$P$5-C10,0)</f>
        <v>3348</v>
      </c>
      <c r="Q10" s="366">
        <f aca="true" t="shared" si="14" ref="Q10:Q73">ROUND(P10/$Q$5,5)</f>
        <v>0.08928</v>
      </c>
      <c r="R10" s="35">
        <f aca="true" t="shared" si="15" ref="R10:R73">ROUND(S10*V10,0)</f>
        <v>1182748</v>
      </c>
      <c r="S10" s="34">
        <f aca="true" t="shared" si="16" ref="S10:S73">ROUND(C10*Q10,0)</f>
        <v>371</v>
      </c>
      <c r="T10" s="34">
        <f aca="true" t="shared" si="17" ref="T10:T73">SUM(F10+I10+L10+O10+S10,0)</f>
        <v>1628</v>
      </c>
      <c r="U10" s="34">
        <f aca="true" t="shared" si="18" ref="U10:U73">T10+C10</f>
        <v>5780</v>
      </c>
      <c r="V10" s="35">
        <f aca="true" t="shared" si="19" ref="V10:V73">V$76</f>
        <v>3188</v>
      </c>
      <c r="W10" s="35">
        <f aca="true" t="shared" si="20" ref="W10:W73">ROUND(U10*V10,0)</f>
        <v>18426640</v>
      </c>
      <c r="X10" s="38">
        <f>'Table 6 Local Wealth Factor'!L9</f>
        <v>0.53917891</v>
      </c>
      <c r="Y10" s="38">
        <f aca="true" t="shared" si="21" ref="Y10:Y73">ROUND(U10/U$76,8)</f>
        <v>0.00595832</v>
      </c>
      <c r="Z10" s="38">
        <f aca="true" t="shared" si="22" ref="Z10:Z73">ROUND(X10*Y10,8)</f>
        <v>0.0032126</v>
      </c>
      <c r="AA10" s="35">
        <f>IF(W$76*Z10*AA$5&lt;W10,ROUND(W$76*Z10*AA$5,0),W10)</f>
        <v>3477339</v>
      </c>
      <c r="AB10" s="39">
        <f aca="true" t="shared" si="23" ref="AB10:AB73">ROUND(AA10/W10,4)</f>
        <v>0.1887</v>
      </c>
      <c r="AC10" s="524">
        <f aca="true" t="shared" si="24" ref="AC10:AC73">IF(W10-AA10&gt;0,W10-AA10,0)</f>
        <v>14949301</v>
      </c>
      <c r="AD10" s="39">
        <f aca="true" t="shared" si="25" ref="AD10:AD73">ROUND(AC10/W10,4)</f>
        <v>0.8113</v>
      </c>
      <c r="AE10" s="595">
        <f>'Table 7 Local Revenue'!AL9</f>
        <v>6368402</v>
      </c>
      <c r="AF10" s="35">
        <f aca="true" t="shared" si="26" ref="AF10:AF73">IF(AE10-AA10&gt;0,AE10-AA10,0)</f>
        <v>2891063</v>
      </c>
      <c r="AG10" s="42">
        <f aca="true" t="shared" si="27" ref="AG10:AG73">IF(AE10-AA10&lt;0,AE10-AA10,0)</f>
        <v>0</v>
      </c>
      <c r="AH10" s="35">
        <f aca="true" t="shared" si="28" ref="AH10:AH73">ROUND(W10*AH$5,0)</f>
        <v>6080791</v>
      </c>
      <c r="AI10" s="40">
        <f aca="true" t="shared" si="29" ref="AI10:AI73">IF(AF10&lt;AH10,AF10,AH10)</f>
        <v>2891063</v>
      </c>
      <c r="AJ10" s="524">
        <f aca="true" t="shared" si="30" ref="AJ10:AJ73">IF((1-((1-AJ$5)*X10))*AI10&gt;0,ROUND((1-((1-AJ$5)*X10))*AI10,0),0)</f>
        <v>1955783</v>
      </c>
      <c r="AK10" s="39">
        <f aca="true" t="shared" si="31" ref="AK10:AK73">IF(AI10=0,0,AJ10/AI10)</f>
        <v>0.6764926949014947</v>
      </c>
      <c r="AL10" s="35">
        <f aca="true" t="shared" si="32" ref="AL10:AL73">IF(((1-((1-AL$5)*X10))*AH10)-AJ10&gt;0,ROUND(((1-((1-AL$5)*X10))*AH10)-AJ10,0),0)</f>
        <v>2157827</v>
      </c>
      <c r="AM10" s="35">
        <f aca="true" t="shared" si="33" ref="AM10:AM73">AI10+AJ10</f>
        <v>4846846</v>
      </c>
      <c r="AN10" s="35">
        <f aca="true" t="shared" si="34" ref="AN10:AN73">+AJ10+AC10</f>
        <v>16905084</v>
      </c>
      <c r="AO10" s="35">
        <f t="shared" si="0"/>
        <v>4071.55</v>
      </c>
      <c r="AP10" s="35">
        <f>'Table 4 Level 3'!AE7</f>
        <v>539197</v>
      </c>
      <c r="AQ10" s="35">
        <f aca="true" t="shared" si="35" ref="AQ10:AQ73">ROUND(AP10/C10,2)</f>
        <v>129.86</v>
      </c>
      <c r="AR10" s="524">
        <f aca="true" t="shared" si="36" ref="AR10:AR73">+AN10+AP10</f>
        <v>17444281</v>
      </c>
      <c r="AS10" s="35">
        <f>AR10-'Table 2 Distribution &amp; Adjusts'!K7</f>
        <v>831870.4133156426</v>
      </c>
      <c r="AT10" s="524">
        <f t="shared" si="1"/>
        <v>4201.42</v>
      </c>
      <c r="AU10" s="34">
        <f aca="true" t="shared" si="37" ref="AU10:AU73">RANK(AT10,$AT$9:$AT$74)</f>
        <v>11</v>
      </c>
      <c r="AV10" s="39">
        <f t="shared" si="2"/>
        <v>0.7326</v>
      </c>
      <c r="AW10" s="34">
        <f aca="true" t="shared" si="38" ref="AW10:AW73">RANK(AV10,$AV$9:$AV$74)</f>
        <v>20</v>
      </c>
      <c r="AX10" s="35">
        <f aca="true" t="shared" si="39" ref="AX10:AX73">ROUND(AA10+AI10,2)</f>
        <v>6368402</v>
      </c>
      <c r="AY10" s="35">
        <f t="shared" si="3"/>
        <v>1533.82</v>
      </c>
      <c r="AZ10" s="34">
        <f aca="true" t="shared" si="40" ref="AZ10:AZ73">RANK(AY10,$AY$9:$AY$74)</f>
        <v>45</v>
      </c>
      <c r="BA10" s="39">
        <f aca="true" t="shared" si="41" ref="BA10:BA73">ROUND(AX10/BB10,4)</f>
        <v>0.2674</v>
      </c>
      <c r="BB10" s="35">
        <f t="shared" si="4"/>
        <v>23812683</v>
      </c>
      <c r="BC10" s="35">
        <f t="shared" si="5"/>
        <v>5735.23</v>
      </c>
      <c r="BD10" s="34">
        <f aca="true" t="shared" si="42" ref="BD10:BD73">RANK(BC10,$BC$9:$BC$74)</f>
        <v>35</v>
      </c>
      <c r="BE10" s="801">
        <v>29446.3751942043</v>
      </c>
      <c r="BF10" s="383">
        <f aca="true" t="shared" si="43" ref="BF10:BF73">+BE10+$BF$5</f>
        <v>31506.3751942043</v>
      </c>
      <c r="BG10" s="519">
        <f aca="true" t="shared" si="44" ref="BG10:BG73">RANK(BF10,$BF$9:$BF$74)</f>
        <v>57</v>
      </c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s="6" customFormat="1" ht="12.75">
      <c r="A11" s="666">
        <v>3</v>
      </c>
      <c r="B11" s="495" t="s">
        <v>8</v>
      </c>
      <c r="C11" s="495">
        <f>+'Table 8 Membership'!U11</f>
        <v>14959</v>
      </c>
      <c r="D11" s="495">
        <v>5903</v>
      </c>
      <c r="E11" s="469">
        <f t="shared" si="6"/>
        <v>3200752</v>
      </c>
      <c r="F11" s="667">
        <f aca="true" t="shared" si="45" ref="F11:F73">ROUND(D11*F$5,0)</f>
        <v>1004</v>
      </c>
      <c r="G11" s="495">
        <f>+'[5]Sheet1'!C5</f>
        <v>2423</v>
      </c>
      <c r="H11" s="469">
        <f t="shared" si="7"/>
        <v>385748</v>
      </c>
      <c r="I11" s="495">
        <f t="shared" si="8"/>
        <v>121</v>
      </c>
      <c r="J11" s="495">
        <f>+'[8]A'!C10</f>
        <v>2319</v>
      </c>
      <c r="K11" s="469">
        <f t="shared" si="9"/>
        <v>11091052</v>
      </c>
      <c r="L11" s="495">
        <f t="shared" si="10"/>
        <v>3479</v>
      </c>
      <c r="M11" s="495">
        <f>+'[8]A'!D10</f>
        <v>348</v>
      </c>
      <c r="N11" s="35">
        <f t="shared" si="11"/>
        <v>666292</v>
      </c>
      <c r="O11" s="34">
        <f t="shared" si="12"/>
        <v>209</v>
      </c>
      <c r="P11" s="34">
        <f t="shared" si="13"/>
        <v>0</v>
      </c>
      <c r="Q11" s="366">
        <f t="shared" si="14"/>
        <v>0</v>
      </c>
      <c r="R11" s="35">
        <f t="shared" si="15"/>
        <v>0</v>
      </c>
      <c r="S11" s="34">
        <f t="shared" si="16"/>
        <v>0</v>
      </c>
      <c r="T11" s="34">
        <f t="shared" si="17"/>
        <v>4813</v>
      </c>
      <c r="U11" s="34">
        <f t="shared" si="18"/>
        <v>19772</v>
      </c>
      <c r="V11" s="35">
        <f t="shared" si="19"/>
        <v>3188</v>
      </c>
      <c r="W11" s="35">
        <f t="shared" si="20"/>
        <v>63033136</v>
      </c>
      <c r="X11" s="38">
        <f>'Table 6 Local Wealth Factor'!L10</f>
        <v>1.2207281</v>
      </c>
      <c r="Y11" s="38">
        <f t="shared" si="21"/>
        <v>0.02038199</v>
      </c>
      <c r="Z11" s="38">
        <f t="shared" si="22"/>
        <v>0.02488087</v>
      </c>
      <c r="AA11" s="35">
        <f aca="true" t="shared" si="46" ref="AA11:AA74">IF(W$76*Z11*AA$5&lt;W11,ROUND(W$76*Z11*AA$5,0),W11)</f>
        <v>26931211</v>
      </c>
      <c r="AB11" s="39">
        <f t="shared" si="23"/>
        <v>0.4273</v>
      </c>
      <c r="AC11" s="524">
        <f t="shared" si="24"/>
        <v>36101925</v>
      </c>
      <c r="AD11" s="39">
        <f t="shared" si="25"/>
        <v>0.5727</v>
      </c>
      <c r="AE11" s="595">
        <f>'Table 7 Local Revenue'!AL10</f>
        <v>51502064.5</v>
      </c>
      <c r="AF11" s="35">
        <f t="shared" si="26"/>
        <v>24570853.5</v>
      </c>
      <c r="AG11" s="42">
        <f t="shared" si="27"/>
        <v>0</v>
      </c>
      <c r="AH11" s="35">
        <f t="shared" si="28"/>
        <v>20800935</v>
      </c>
      <c r="AI11" s="40">
        <f t="shared" si="29"/>
        <v>20800935</v>
      </c>
      <c r="AJ11" s="524">
        <f t="shared" si="30"/>
        <v>5565563</v>
      </c>
      <c r="AK11" s="39">
        <f t="shared" si="31"/>
        <v>0.2675631167541267</v>
      </c>
      <c r="AL11" s="35">
        <f t="shared" si="32"/>
        <v>0</v>
      </c>
      <c r="AM11" s="35">
        <f t="shared" si="33"/>
        <v>26366498</v>
      </c>
      <c r="AN11" s="35">
        <f t="shared" si="34"/>
        <v>41667488</v>
      </c>
      <c r="AO11" s="35">
        <f t="shared" si="0"/>
        <v>2785.45</v>
      </c>
      <c r="AP11" s="35">
        <f>'Table 4 Level 3'!AE8</f>
        <v>-361212</v>
      </c>
      <c r="AQ11" s="35">
        <f t="shared" si="35"/>
        <v>-24.15</v>
      </c>
      <c r="AR11" s="524">
        <f t="shared" si="36"/>
        <v>41306276</v>
      </c>
      <c r="AS11" s="35">
        <f>AR11-'Table 2 Distribution &amp; Adjusts'!K8</f>
        <v>3119182.852548033</v>
      </c>
      <c r="AT11" s="524">
        <f t="shared" si="1"/>
        <v>2761.3</v>
      </c>
      <c r="AU11" s="34">
        <f t="shared" si="37"/>
        <v>59</v>
      </c>
      <c r="AV11" s="39">
        <f t="shared" si="2"/>
        <v>0.4639</v>
      </c>
      <c r="AW11" s="34">
        <f t="shared" si="38"/>
        <v>58</v>
      </c>
      <c r="AX11" s="35">
        <f t="shared" si="39"/>
        <v>47732146</v>
      </c>
      <c r="AY11" s="35">
        <f t="shared" si="3"/>
        <v>3190.86</v>
      </c>
      <c r="AZ11" s="34">
        <f t="shared" si="40"/>
        <v>12</v>
      </c>
      <c r="BA11" s="39">
        <f t="shared" si="41"/>
        <v>0.5361</v>
      </c>
      <c r="BB11" s="35">
        <f t="shared" si="4"/>
        <v>89038422</v>
      </c>
      <c r="BC11" s="35">
        <f t="shared" si="5"/>
        <v>5952.16</v>
      </c>
      <c r="BD11" s="34">
        <f t="shared" si="42"/>
        <v>19</v>
      </c>
      <c r="BE11" s="801">
        <v>34284.6074045988</v>
      </c>
      <c r="BF11" s="383">
        <f t="shared" si="43"/>
        <v>36344.6074045988</v>
      </c>
      <c r="BG11" s="519">
        <f t="shared" si="44"/>
        <v>15</v>
      </c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s="6" customFormat="1" ht="12.75">
      <c r="A12" s="666">
        <v>4</v>
      </c>
      <c r="B12" s="495" t="s">
        <v>9</v>
      </c>
      <c r="C12" s="495">
        <f>+'Table 8 Membership'!U12</f>
        <v>4410</v>
      </c>
      <c r="D12" s="495">
        <v>2910</v>
      </c>
      <c r="E12" s="469">
        <f t="shared" si="6"/>
        <v>1578060</v>
      </c>
      <c r="F12" s="667">
        <f t="shared" si="45"/>
        <v>495</v>
      </c>
      <c r="G12" s="495">
        <f>+'[5]Sheet1'!C6</f>
        <v>1119</v>
      </c>
      <c r="H12" s="469">
        <f t="shared" si="7"/>
        <v>178528</v>
      </c>
      <c r="I12" s="495">
        <f t="shared" si="8"/>
        <v>56</v>
      </c>
      <c r="J12" s="495">
        <f>+'[8]A'!C11</f>
        <v>586</v>
      </c>
      <c r="K12" s="469">
        <f t="shared" si="9"/>
        <v>2802252</v>
      </c>
      <c r="L12" s="495">
        <f t="shared" si="10"/>
        <v>879</v>
      </c>
      <c r="M12" s="495">
        <f>+'[8]A'!D11</f>
        <v>75</v>
      </c>
      <c r="N12" s="35">
        <f t="shared" si="11"/>
        <v>143460</v>
      </c>
      <c r="O12" s="34">
        <f t="shared" si="12"/>
        <v>45</v>
      </c>
      <c r="P12" s="34">
        <f t="shared" si="13"/>
        <v>3090</v>
      </c>
      <c r="Q12" s="366">
        <f t="shared" si="14"/>
        <v>0.0824</v>
      </c>
      <c r="R12" s="35">
        <f t="shared" si="15"/>
        <v>1157244</v>
      </c>
      <c r="S12" s="34">
        <f t="shared" si="16"/>
        <v>363</v>
      </c>
      <c r="T12" s="34">
        <f t="shared" si="17"/>
        <v>1838</v>
      </c>
      <c r="U12" s="34">
        <f t="shared" si="18"/>
        <v>6248</v>
      </c>
      <c r="V12" s="35">
        <f t="shared" si="19"/>
        <v>3188</v>
      </c>
      <c r="W12" s="35">
        <f t="shared" si="20"/>
        <v>19918624</v>
      </c>
      <c r="X12" s="38">
        <f>'Table 6 Local Wealth Factor'!L11</f>
        <v>0.51180567</v>
      </c>
      <c r="Y12" s="38">
        <f t="shared" si="21"/>
        <v>0.00644076</v>
      </c>
      <c r="Z12" s="38">
        <f t="shared" si="22"/>
        <v>0.00329642</v>
      </c>
      <c r="AA12" s="35">
        <f t="shared" si="46"/>
        <v>3568066</v>
      </c>
      <c r="AB12" s="39">
        <f t="shared" si="23"/>
        <v>0.1791</v>
      </c>
      <c r="AC12" s="524">
        <f t="shared" si="24"/>
        <v>16350558</v>
      </c>
      <c r="AD12" s="39">
        <f t="shared" si="25"/>
        <v>0.8209</v>
      </c>
      <c r="AE12" s="595">
        <f>'Table 7 Local Revenue'!AL11</f>
        <v>7106731.5</v>
      </c>
      <c r="AF12" s="35">
        <f t="shared" si="26"/>
        <v>3538665.5</v>
      </c>
      <c r="AG12" s="42">
        <f t="shared" si="27"/>
        <v>0</v>
      </c>
      <c r="AH12" s="35">
        <f t="shared" si="28"/>
        <v>6573146</v>
      </c>
      <c r="AI12" s="40">
        <f t="shared" si="29"/>
        <v>3538665.5</v>
      </c>
      <c r="AJ12" s="524">
        <f t="shared" si="30"/>
        <v>2452000</v>
      </c>
      <c r="AK12" s="39">
        <f t="shared" si="31"/>
        <v>0.6929165811235902</v>
      </c>
      <c r="AL12" s="35">
        <f t="shared" si="32"/>
        <v>2102642</v>
      </c>
      <c r="AM12" s="35">
        <f t="shared" si="33"/>
        <v>5990665.5</v>
      </c>
      <c r="AN12" s="35">
        <f t="shared" si="34"/>
        <v>18802558</v>
      </c>
      <c r="AO12" s="35">
        <f t="shared" si="0"/>
        <v>4263.62</v>
      </c>
      <c r="AP12" s="35">
        <f>'Table 4 Level 3'!AE9</f>
        <v>157602</v>
      </c>
      <c r="AQ12" s="35">
        <f t="shared" si="35"/>
        <v>35.74</v>
      </c>
      <c r="AR12" s="524">
        <f t="shared" si="36"/>
        <v>18960160</v>
      </c>
      <c r="AS12" s="35">
        <f>AR12-'Table 2 Distribution &amp; Adjusts'!K9</f>
        <v>854708.2852847315</v>
      </c>
      <c r="AT12" s="524">
        <f t="shared" si="1"/>
        <v>4299.36</v>
      </c>
      <c r="AU12" s="34">
        <f t="shared" si="37"/>
        <v>7</v>
      </c>
      <c r="AV12" s="39">
        <f t="shared" si="2"/>
        <v>0.7274</v>
      </c>
      <c r="AW12" s="34">
        <f t="shared" si="38"/>
        <v>22</v>
      </c>
      <c r="AX12" s="35">
        <f t="shared" si="39"/>
        <v>7106731.5</v>
      </c>
      <c r="AY12" s="35">
        <f t="shared" si="3"/>
        <v>1611.5</v>
      </c>
      <c r="AZ12" s="34">
        <f t="shared" si="40"/>
        <v>43</v>
      </c>
      <c r="BA12" s="39">
        <f t="shared" si="41"/>
        <v>0.2726</v>
      </c>
      <c r="BB12" s="35">
        <f t="shared" si="4"/>
        <v>26066891.5</v>
      </c>
      <c r="BC12" s="35">
        <f t="shared" si="5"/>
        <v>5910.86</v>
      </c>
      <c r="BD12" s="34">
        <f t="shared" si="42"/>
        <v>21</v>
      </c>
      <c r="BE12" s="801">
        <v>31439.4949165012</v>
      </c>
      <c r="BF12" s="383">
        <f t="shared" si="43"/>
        <v>33499.4949165012</v>
      </c>
      <c r="BG12" s="519">
        <f t="shared" si="44"/>
        <v>42</v>
      </c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s="54" customFormat="1" ht="12.75">
      <c r="A13" s="668">
        <v>5</v>
      </c>
      <c r="B13" s="498" t="s">
        <v>10</v>
      </c>
      <c r="C13" s="498">
        <f>+'Table 8 Membership'!U13</f>
        <v>6624</v>
      </c>
      <c r="D13" s="498">
        <v>4980</v>
      </c>
      <c r="E13" s="472">
        <f t="shared" si="6"/>
        <v>2700236</v>
      </c>
      <c r="F13" s="669">
        <f t="shared" si="45"/>
        <v>847</v>
      </c>
      <c r="G13" s="498">
        <f>+'[5]Sheet1'!C7</f>
        <v>2194</v>
      </c>
      <c r="H13" s="472">
        <f t="shared" si="7"/>
        <v>350680</v>
      </c>
      <c r="I13" s="498">
        <f t="shared" si="8"/>
        <v>110</v>
      </c>
      <c r="J13" s="495">
        <f>+'[8]A'!C12</f>
        <v>755</v>
      </c>
      <c r="K13" s="472">
        <f t="shared" si="9"/>
        <v>3612004</v>
      </c>
      <c r="L13" s="498">
        <f t="shared" si="10"/>
        <v>1133</v>
      </c>
      <c r="M13" s="495">
        <f>+'[8]A'!D12</f>
        <v>26</v>
      </c>
      <c r="N13" s="49">
        <f t="shared" si="11"/>
        <v>51008</v>
      </c>
      <c r="O13" s="48">
        <f t="shared" si="12"/>
        <v>16</v>
      </c>
      <c r="P13" s="48">
        <f t="shared" si="13"/>
        <v>876</v>
      </c>
      <c r="Q13" s="367">
        <f t="shared" si="14"/>
        <v>0.02336</v>
      </c>
      <c r="R13" s="49">
        <f t="shared" si="15"/>
        <v>494140</v>
      </c>
      <c r="S13" s="48">
        <f t="shared" si="16"/>
        <v>155</v>
      </c>
      <c r="T13" s="48">
        <f t="shared" si="17"/>
        <v>2261</v>
      </c>
      <c r="U13" s="34">
        <f t="shared" si="18"/>
        <v>8885</v>
      </c>
      <c r="V13" s="49">
        <f t="shared" si="19"/>
        <v>3188</v>
      </c>
      <c r="W13" s="49">
        <f t="shared" si="20"/>
        <v>28325380</v>
      </c>
      <c r="X13" s="51">
        <f>'Table 6 Local Wealth Factor'!L12</f>
        <v>0.51095093</v>
      </c>
      <c r="Y13" s="51">
        <f t="shared" si="21"/>
        <v>0.00915911</v>
      </c>
      <c r="Z13" s="51">
        <f t="shared" si="22"/>
        <v>0.00467986</v>
      </c>
      <c r="AA13" s="49">
        <f t="shared" si="46"/>
        <v>5065510</v>
      </c>
      <c r="AB13" s="52">
        <f t="shared" si="23"/>
        <v>0.1788</v>
      </c>
      <c r="AC13" s="525">
        <f t="shared" si="24"/>
        <v>23259870</v>
      </c>
      <c r="AD13" s="52">
        <f t="shared" si="25"/>
        <v>0.8212</v>
      </c>
      <c r="AE13" s="596">
        <f>'Table 7 Local Revenue'!AL12</f>
        <v>6258645.5</v>
      </c>
      <c r="AF13" s="49">
        <f t="shared" si="26"/>
        <v>1193135.5</v>
      </c>
      <c r="AG13" s="61">
        <f t="shared" si="27"/>
        <v>0</v>
      </c>
      <c r="AH13" s="49">
        <f t="shared" si="28"/>
        <v>9347375</v>
      </c>
      <c r="AI13" s="53">
        <f t="shared" si="29"/>
        <v>1193135.5</v>
      </c>
      <c r="AJ13" s="525">
        <f t="shared" si="30"/>
        <v>827355</v>
      </c>
      <c r="AK13" s="52">
        <f t="shared" si="31"/>
        <v>0.6934292039755753</v>
      </c>
      <c r="AL13" s="49">
        <f t="shared" si="32"/>
        <v>5654390</v>
      </c>
      <c r="AM13" s="49">
        <f t="shared" si="33"/>
        <v>2020490.5</v>
      </c>
      <c r="AN13" s="49">
        <f t="shared" si="34"/>
        <v>24087225</v>
      </c>
      <c r="AO13" s="49">
        <f t="shared" si="0"/>
        <v>3636.36</v>
      </c>
      <c r="AP13" s="49">
        <f>'Table 4 Level 3'!AE10</f>
        <v>821031</v>
      </c>
      <c r="AQ13" s="49">
        <f t="shared" si="35"/>
        <v>123.95</v>
      </c>
      <c r="AR13" s="525">
        <f t="shared" si="36"/>
        <v>24908256</v>
      </c>
      <c r="AS13" s="49">
        <f>AR13-'Table 2 Distribution &amp; Adjusts'!K10</f>
        <v>718478.8976773657</v>
      </c>
      <c r="AT13" s="525">
        <f t="shared" si="1"/>
        <v>3760.3</v>
      </c>
      <c r="AU13" s="48">
        <f t="shared" si="37"/>
        <v>32</v>
      </c>
      <c r="AV13" s="52">
        <f t="shared" si="2"/>
        <v>0.7992</v>
      </c>
      <c r="AW13" s="48">
        <f t="shared" si="38"/>
        <v>8</v>
      </c>
      <c r="AX13" s="49">
        <f t="shared" si="39"/>
        <v>6258645.5</v>
      </c>
      <c r="AY13" s="49">
        <f t="shared" si="3"/>
        <v>944.84</v>
      </c>
      <c r="AZ13" s="48">
        <f t="shared" si="40"/>
        <v>61</v>
      </c>
      <c r="BA13" s="52">
        <f t="shared" si="41"/>
        <v>0.2008</v>
      </c>
      <c r="BB13" s="49">
        <f t="shared" si="4"/>
        <v>31166901.5</v>
      </c>
      <c r="BC13" s="49">
        <f t="shared" si="5"/>
        <v>4705.15</v>
      </c>
      <c r="BD13" s="48">
        <f t="shared" si="42"/>
        <v>63</v>
      </c>
      <c r="BE13" s="802">
        <v>29695.8001388026</v>
      </c>
      <c r="BF13" s="384">
        <f t="shared" si="43"/>
        <v>31755.8001388026</v>
      </c>
      <c r="BG13" s="520">
        <f t="shared" si="44"/>
        <v>54</v>
      </c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s="6" customFormat="1" ht="12.75">
      <c r="A14" s="666">
        <v>6</v>
      </c>
      <c r="B14" s="495" t="s">
        <v>11</v>
      </c>
      <c r="C14" s="495">
        <f>+'Table 8 Membership'!U14</f>
        <v>6009</v>
      </c>
      <c r="D14" s="495">
        <v>2638</v>
      </c>
      <c r="E14" s="469">
        <f t="shared" si="6"/>
        <v>1428224</v>
      </c>
      <c r="F14" s="667">
        <f t="shared" si="45"/>
        <v>448</v>
      </c>
      <c r="G14" s="495">
        <f>+'[5]Sheet1'!C8</f>
        <v>1886</v>
      </c>
      <c r="H14" s="469">
        <f t="shared" si="7"/>
        <v>299672</v>
      </c>
      <c r="I14" s="495">
        <f t="shared" si="8"/>
        <v>94</v>
      </c>
      <c r="J14" s="495">
        <f>+'[8]A'!C13</f>
        <v>704</v>
      </c>
      <c r="K14" s="469">
        <f t="shared" si="9"/>
        <v>3366528</v>
      </c>
      <c r="L14" s="495">
        <f t="shared" si="10"/>
        <v>1056</v>
      </c>
      <c r="M14" s="495">
        <f>+'[8]A'!D13</f>
        <v>149</v>
      </c>
      <c r="N14" s="35">
        <f t="shared" si="11"/>
        <v>283732</v>
      </c>
      <c r="O14" s="34">
        <f t="shared" si="12"/>
        <v>89</v>
      </c>
      <c r="P14" s="34">
        <f t="shared" si="13"/>
        <v>1491</v>
      </c>
      <c r="Q14" s="366">
        <f t="shared" si="14"/>
        <v>0.03976</v>
      </c>
      <c r="R14" s="35">
        <f t="shared" si="15"/>
        <v>761932</v>
      </c>
      <c r="S14" s="34">
        <f t="shared" si="16"/>
        <v>239</v>
      </c>
      <c r="T14" s="34">
        <f t="shared" si="17"/>
        <v>1926</v>
      </c>
      <c r="U14" s="126">
        <f t="shared" si="18"/>
        <v>7935</v>
      </c>
      <c r="V14" s="35">
        <f t="shared" si="19"/>
        <v>3188</v>
      </c>
      <c r="W14" s="35">
        <f t="shared" si="20"/>
        <v>25296780</v>
      </c>
      <c r="X14" s="38">
        <f>'Table 6 Local Wealth Factor'!L13</f>
        <v>0.77462803</v>
      </c>
      <c r="Y14" s="38">
        <f t="shared" si="21"/>
        <v>0.00817981</v>
      </c>
      <c r="Z14" s="38">
        <f t="shared" si="22"/>
        <v>0.00633631</v>
      </c>
      <c r="AA14" s="35">
        <f t="shared" si="46"/>
        <v>6858462</v>
      </c>
      <c r="AB14" s="39">
        <f t="shared" si="23"/>
        <v>0.2711</v>
      </c>
      <c r="AC14" s="524">
        <f t="shared" si="24"/>
        <v>18438318</v>
      </c>
      <c r="AD14" s="39">
        <f t="shared" si="25"/>
        <v>0.7289</v>
      </c>
      <c r="AE14" s="595">
        <f>'Table 7 Local Revenue'!AL13</f>
        <v>12772405.5</v>
      </c>
      <c r="AF14" s="35">
        <f t="shared" si="26"/>
        <v>5913943.5</v>
      </c>
      <c r="AG14" s="42">
        <f t="shared" si="27"/>
        <v>0</v>
      </c>
      <c r="AH14" s="35">
        <f t="shared" si="28"/>
        <v>8347937</v>
      </c>
      <c r="AI14" s="40">
        <f t="shared" si="29"/>
        <v>5913943.5</v>
      </c>
      <c r="AJ14" s="524">
        <f t="shared" si="30"/>
        <v>3165280</v>
      </c>
      <c r="AK14" s="39">
        <f t="shared" si="31"/>
        <v>0.5352232397891525</v>
      </c>
      <c r="AL14" s="35">
        <f t="shared" si="32"/>
        <v>1302729</v>
      </c>
      <c r="AM14" s="35">
        <f t="shared" si="33"/>
        <v>9079223.5</v>
      </c>
      <c r="AN14" s="35">
        <f t="shared" si="34"/>
        <v>21603598</v>
      </c>
      <c r="AO14" s="35">
        <f t="shared" si="0"/>
        <v>3595.21</v>
      </c>
      <c r="AP14" s="35">
        <f>'Table 4 Level 3'!AE11</f>
        <v>212629</v>
      </c>
      <c r="AQ14" s="35">
        <f t="shared" si="35"/>
        <v>35.39</v>
      </c>
      <c r="AR14" s="524">
        <f t="shared" si="36"/>
        <v>21816227</v>
      </c>
      <c r="AS14" s="35">
        <f>AR14-'Table 2 Distribution &amp; Adjusts'!K11</f>
        <v>964034.8374773599</v>
      </c>
      <c r="AT14" s="524">
        <f t="shared" si="1"/>
        <v>3630.59</v>
      </c>
      <c r="AU14" s="34">
        <f t="shared" si="37"/>
        <v>37</v>
      </c>
      <c r="AV14" s="39">
        <f t="shared" si="2"/>
        <v>0.6307</v>
      </c>
      <c r="AW14" s="34">
        <f t="shared" si="38"/>
        <v>38</v>
      </c>
      <c r="AX14" s="35">
        <f t="shared" si="39"/>
        <v>12772405.5</v>
      </c>
      <c r="AY14" s="35">
        <f t="shared" si="3"/>
        <v>2125.55</v>
      </c>
      <c r="AZ14" s="34">
        <f t="shared" si="40"/>
        <v>29</v>
      </c>
      <c r="BA14" s="39">
        <f t="shared" si="41"/>
        <v>0.3693</v>
      </c>
      <c r="BB14" s="35">
        <f t="shared" si="4"/>
        <v>34588632.5</v>
      </c>
      <c r="BC14" s="35">
        <f t="shared" si="5"/>
        <v>5756.14</v>
      </c>
      <c r="BD14" s="34">
        <f t="shared" si="42"/>
        <v>32</v>
      </c>
      <c r="BE14" s="801">
        <v>33014.2836635219</v>
      </c>
      <c r="BF14" s="383">
        <f t="shared" si="43"/>
        <v>35074.2836635219</v>
      </c>
      <c r="BG14" s="519">
        <f t="shared" si="44"/>
        <v>27</v>
      </c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s="6" customFormat="1" ht="12.75">
      <c r="A15" s="666">
        <v>7</v>
      </c>
      <c r="B15" s="495" t="s">
        <v>12</v>
      </c>
      <c r="C15" s="495">
        <f>+'Table 8 Membership'!U15</f>
        <v>2492</v>
      </c>
      <c r="D15" s="495">
        <v>1759</v>
      </c>
      <c r="E15" s="469">
        <f t="shared" si="6"/>
        <v>953212</v>
      </c>
      <c r="F15" s="667">
        <f t="shared" si="45"/>
        <v>299</v>
      </c>
      <c r="G15" s="495">
        <f>+'[5]Sheet1'!C9</f>
        <v>1077</v>
      </c>
      <c r="H15" s="469">
        <f t="shared" si="7"/>
        <v>172152</v>
      </c>
      <c r="I15" s="495">
        <f t="shared" si="8"/>
        <v>54</v>
      </c>
      <c r="J15" s="495">
        <f>+'[8]A'!C14</f>
        <v>355</v>
      </c>
      <c r="K15" s="469">
        <f t="shared" si="9"/>
        <v>1699204</v>
      </c>
      <c r="L15" s="495">
        <f t="shared" si="10"/>
        <v>533</v>
      </c>
      <c r="M15" s="495">
        <f>+'[8]A'!D14</f>
        <v>28</v>
      </c>
      <c r="N15" s="35">
        <f t="shared" si="11"/>
        <v>54196</v>
      </c>
      <c r="O15" s="34">
        <f t="shared" si="12"/>
        <v>17</v>
      </c>
      <c r="P15" s="34">
        <f t="shared" si="13"/>
        <v>5008</v>
      </c>
      <c r="Q15" s="366">
        <f t="shared" si="14"/>
        <v>0.13355</v>
      </c>
      <c r="R15" s="35">
        <f t="shared" si="15"/>
        <v>1061604</v>
      </c>
      <c r="S15" s="34">
        <f t="shared" si="16"/>
        <v>333</v>
      </c>
      <c r="T15" s="34">
        <f t="shared" si="17"/>
        <v>1236</v>
      </c>
      <c r="U15" s="34">
        <f t="shared" si="18"/>
        <v>3728</v>
      </c>
      <c r="V15" s="35">
        <f t="shared" si="19"/>
        <v>3188</v>
      </c>
      <c r="W15" s="35">
        <f t="shared" si="20"/>
        <v>11884864</v>
      </c>
      <c r="X15" s="38">
        <f>'Table 6 Local Wealth Factor'!L14</f>
        <v>1.15066718</v>
      </c>
      <c r="Y15" s="38">
        <f t="shared" si="21"/>
        <v>0.00384301</v>
      </c>
      <c r="Z15" s="38">
        <f t="shared" si="22"/>
        <v>0.00442203</v>
      </c>
      <c r="AA15" s="35">
        <f t="shared" si="46"/>
        <v>4786433</v>
      </c>
      <c r="AB15" s="39">
        <f t="shared" si="23"/>
        <v>0.4027</v>
      </c>
      <c r="AC15" s="524">
        <f t="shared" si="24"/>
        <v>7098431</v>
      </c>
      <c r="AD15" s="39">
        <f t="shared" si="25"/>
        <v>0.5973</v>
      </c>
      <c r="AE15" s="595">
        <f>'Table 7 Local Revenue'!AL14</f>
        <v>8146829.5</v>
      </c>
      <c r="AF15" s="35">
        <f t="shared" si="26"/>
        <v>3360396.5</v>
      </c>
      <c r="AG15" s="42">
        <f t="shared" si="27"/>
        <v>0</v>
      </c>
      <c r="AH15" s="35">
        <f t="shared" si="28"/>
        <v>3922005</v>
      </c>
      <c r="AI15" s="40">
        <f t="shared" si="29"/>
        <v>3360396.5</v>
      </c>
      <c r="AJ15" s="524">
        <f t="shared" si="30"/>
        <v>1040378</v>
      </c>
      <c r="AK15" s="39">
        <f t="shared" si="31"/>
        <v>0.3095997749075146</v>
      </c>
      <c r="AL15" s="35">
        <f t="shared" si="32"/>
        <v>173874</v>
      </c>
      <c r="AM15" s="35">
        <f t="shared" si="33"/>
        <v>4400774.5</v>
      </c>
      <c r="AN15" s="35">
        <f t="shared" si="34"/>
        <v>8138809</v>
      </c>
      <c r="AO15" s="35">
        <f t="shared" si="0"/>
        <v>3265.97</v>
      </c>
      <c r="AP15" s="35">
        <f>'Table 4 Level 3'!AE12</f>
        <v>85526</v>
      </c>
      <c r="AQ15" s="35">
        <f t="shared" si="35"/>
        <v>34.32</v>
      </c>
      <c r="AR15" s="524">
        <f t="shared" si="36"/>
        <v>8224335</v>
      </c>
      <c r="AS15" s="35">
        <f>AR15-'Table 2 Distribution &amp; Adjusts'!K12</f>
        <v>529400.1098012794</v>
      </c>
      <c r="AT15" s="524">
        <f t="shared" si="1"/>
        <v>3300.29</v>
      </c>
      <c r="AU15" s="34">
        <f t="shared" si="37"/>
        <v>48</v>
      </c>
      <c r="AV15" s="39">
        <f t="shared" si="2"/>
        <v>0.5024</v>
      </c>
      <c r="AW15" s="34">
        <f t="shared" si="38"/>
        <v>53</v>
      </c>
      <c r="AX15" s="35">
        <f t="shared" si="39"/>
        <v>8146829.5</v>
      </c>
      <c r="AY15" s="35">
        <f t="shared" si="3"/>
        <v>3269.19</v>
      </c>
      <c r="AZ15" s="34">
        <f t="shared" si="40"/>
        <v>10</v>
      </c>
      <c r="BA15" s="39">
        <f t="shared" si="41"/>
        <v>0.4976</v>
      </c>
      <c r="BB15" s="35">
        <f t="shared" si="4"/>
        <v>16371164.5</v>
      </c>
      <c r="BC15" s="35">
        <f t="shared" si="5"/>
        <v>6569.49</v>
      </c>
      <c r="BD15" s="34">
        <f t="shared" si="42"/>
        <v>8</v>
      </c>
      <c r="BE15" s="801">
        <v>32699.3953933157</v>
      </c>
      <c r="BF15" s="383">
        <f t="shared" si="43"/>
        <v>34759.3953933157</v>
      </c>
      <c r="BG15" s="519">
        <f t="shared" si="44"/>
        <v>30</v>
      </c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6" customFormat="1" ht="12.75">
      <c r="A16" s="666">
        <v>8</v>
      </c>
      <c r="B16" s="495" t="s">
        <v>13</v>
      </c>
      <c r="C16" s="495">
        <f>+'Table 8 Membership'!U16</f>
        <v>18497</v>
      </c>
      <c r="D16" s="495">
        <v>7591</v>
      </c>
      <c r="E16" s="469">
        <f t="shared" si="6"/>
        <v>4112520</v>
      </c>
      <c r="F16" s="667">
        <f t="shared" si="45"/>
        <v>1290</v>
      </c>
      <c r="G16" s="495">
        <f>+'[5]Sheet1'!C10</f>
        <v>5156</v>
      </c>
      <c r="H16" s="469">
        <f t="shared" si="7"/>
        <v>822504</v>
      </c>
      <c r="I16" s="495">
        <f t="shared" si="8"/>
        <v>258</v>
      </c>
      <c r="J16" s="495">
        <f>+'[8]A'!C15</f>
        <v>2184</v>
      </c>
      <c r="K16" s="469">
        <f t="shared" si="9"/>
        <v>10443888</v>
      </c>
      <c r="L16" s="495">
        <f t="shared" si="10"/>
        <v>3276</v>
      </c>
      <c r="M16" s="495">
        <f>+'[8]A'!D15</f>
        <v>491</v>
      </c>
      <c r="N16" s="35">
        <f t="shared" si="11"/>
        <v>940460</v>
      </c>
      <c r="O16" s="34">
        <f t="shared" si="12"/>
        <v>295</v>
      </c>
      <c r="P16" s="34">
        <f t="shared" si="13"/>
        <v>0</v>
      </c>
      <c r="Q16" s="366">
        <f t="shared" si="14"/>
        <v>0</v>
      </c>
      <c r="R16" s="35">
        <f t="shared" si="15"/>
        <v>0</v>
      </c>
      <c r="S16" s="34">
        <f t="shared" si="16"/>
        <v>0</v>
      </c>
      <c r="T16" s="34">
        <f t="shared" si="17"/>
        <v>5119</v>
      </c>
      <c r="U16" s="34">
        <f t="shared" si="18"/>
        <v>23616</v>
      </c>
      <c r="V16" s="35">
        <f t="shared" si="19"/>
        <v>3188</v>
      </c>
      <c r="W16" s="35">
        <f t="shared" si="20"/>
        <v>75287808</v>
      </c>
      <c r="X16" s="38">
        <f>'Table 6 Local Wealth Factor'!L15</f>
        <v>0.95101887</v>
      </c>
      <c r="Y16" s="38">
        <f t="shared" si="21"/>
        <v>0.02434458</v>
      </c>
      <c r="Z16" s="38">
        <f t="shared" si="22"/>
        <v>0.02315215</v>
      </c>
      <c r="AA16" s="35">
        <f t="shared" si="46"/>
        <v>25060034</v>
      </c>
      <c r="AB16" s="39">
        <f t="shared" si="23"/>
        <v>0.3329</v>
      </c>
      <c r="AC16" s="524">
        <f t="shared" si="24"/>
        <v>50227774</v>
      </c>
      <c r="AD16" s="39">
        <f t="shared" si="25"/>
        <v>0.6671</v>
      </c>
      <c r="AE16" s="595">
        <f>'Table 7 Local Revenue'!AL15</f>
        <v>39682381</v>
      </c>
      <c r="AF16" s="35">
        <f t="shared" si="26"/>
        <v>14622347</v>
      </c>
      <c r="AG16" s="42">
        <f t="shared" si="27"/>
        <v>0</v>
      </c>
      <c r="AH16" s="35">
        <f t="shared" si="28"/>
        <v>24844977</v>
      </c>
      <c r="AI16" s="40">
        <f t="shared" si="29"/>
        <v>14622347</v>
      </c>
      <c r="AJ16" s="524">
        <f t="shared" si="30"/>
        <v>6278670</v>
      </c>
      <c r="AK16" s="39">
        <f t="shared" si="31"/>
        <v>0.42938866106788465</v>
      </c>
      <c r="AL16" s="35">
        <f t="shared" si="32"/>
        <v>4389482</v>
      </c>
      <c r="AM16" s="35">
        <f t="shared" si="33"/>
        <v>20901017</v>
      </c>
      <c r="AN16" s="35">
        <f t="shared" si="34"/>
        <v>56506444</v>
      </c>
      <c r="AO16" s="35">
        <f t="shared" si="0"/>
        <v>3054.9</v>
      </c>
      <c r="AP16" s="35">
        <f>'Table 4 Level 3'!AE13</f>
        <v>2711761</v>
      </c>
      <c r="AQ16" s="35">
        <f t="shared" si="35"/>
        <v>146.61</v>
      </c>
      <c r="AR16" s="524">
        <f t="shared" si="36"/>
        <v>59218205</v>
      </c>
      <c r="AS16" s="35">
        <f>AR16-'Table 2 Distribution &amp; Adjusts'!K13</f>
        <v>2299294.083437994</v>
      </c>
      <c r="AT16" s="524">
        <f t="shared" si="1"/>
        <v>3201.5</v>
      </c>
      <c r="AU16" s="34">
        <f t="shared" si="37"/>
        <v>52</v>
      </c>
      <c r="AV16" s="39">
        <f t="shared" si="2"/>
        <v>0.5988</v>
      </c>
      <c r="AW16" s="34">
        <f t="shared" si="38"/>
        <v>43</v>
      </c>
      <c r="AX16" s="35">
        <f t="shared" si="39"/>
        <v>39682381</v>
      </c>
      <c r="AY16" s="35">
        <f t="shared" si="3"/>
        <v>2145.34</v>
      </c>
      <c r="AZ16" s="34">
        <f t="shared" si="40"/>
        <v>26</v>
      </c>
      <c r="BA16" s="39">
        <f t="shared" si="41"/>
        <v>0.4012</v>
      </c>
      <c r="BB16" s="35">
        <f t="shared" si="4"/>
        <v>98900586</v>
      </c>
      <c r="BC16" s="35">
        <f t="shared" si="5"/>
        <v>5346.84</v>
      </c>
      <c r="BD16" s="34">
        <f t="shared" si="42"/>
        <v>50</v>
      </c>
      <c r="BE16" s="801">
        <v>33273.1799048018</v>
      </c>
      <c r="BF16" s="383">
        <f t="shared" si="43"/>
        <v>35333.1799048018</v>
      </c>
      <c r="BG16" s="519">
        <f t="shared" si="44"/>
        <v>22</v>
      </c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s="6" customFormat="1" ht="12.75">
      <c r="A17" s="666">
        <v>9</v>
      </c>
      <c r="B17" s="495" t="s">
        <v>14</v>
      </c>
      <c r="C17" s="495">
        <f>+'Table 8 Membership'!U17</f>
        <v>43953</v>
      </c>
      <c r="D17" s="495">
        <v>22609</v>
      </c>
      <c r="E17" s="469">
        <f t="shared" si="6"/>
        <v>12254672</v>
      </c>
      <c r="F17" s="667">
        <f t="shared" si="45"/>
        <v>3844</v>
      </c>
      <c r="G17" s="495">
        <f>+'[5]Sheet1'!C11</f>
        <v>9778</v>
      </c>
      <c r="H17" s="469">
        <f t="shared" si="7"/>
        <v>1558932</v>
      </c>
      <c r="I17" s="495">
        <f t="shared" si="8"/>
        <v>489</v>
      </c>
      <c r="J17" s="495">
        <f>+'[8]A'!C16</f>
        <v>6312</v>
      </c>
      <c r="K17" s="469">
        <f t="shared" si="9"/>
        <v>30183984</v>
      </c>
      <c r="L17" s="495">
        <f t="shared" si="10"/>
        <v>9468</v>
      </c>
      <c r="M17" s="495">
        <f>+'[8]A'!D16</f>
        <v>1515</v>
      </c>
      <c r="N17" s="35">
        <f t="shared" si="11"/>
        <v>2897892</v>
      </c>
      <c r="O17" s="34">
        <f t="shared" si="12"/>
        <v>909</v>
      </c>
      <c r="P17" s="34">
        <f t="shared" si="13"/>
        <v>0</v>
      </c>
      <c r="Q17" s="366">
        <f t="shared" si="14"/>
        <v>0</v>
      </c>
      <c r="R17" s="35">
        <f t="shared" si="15"/>
        <v>0</v>
      </c>
      <c r="S17" s="34">
        <f t="shared" si="16"/>
        <v>0</v>
      </c>
      <c r="T17" s="34">
        <f t="shared" si="17"/>
        <v>14710</v>
      </c>
      <c r="U17" s="34">
        <f t="shared" si="18"/>
        <v>58663</v>
      </c>
      <c r="V17" s="35">
        <f t="shared" si="19"/>
        <v>3188</v>
      </c>
      <c r="W17" s="35">
        <f t="shared" si="20"/>
        <v>187017644</v>
      </c>
      <c r="X17" s="38">
        <f>'Table 6 Local Wealth Factor'!L16</f>
        <v>0.92203416</v>
      </c>
      <c r="Y17" s="38">
        <f t="shared" si="21"/>
        <v>0.06047283</v>
      </c>
      <c r="Z17" s="38">
        <f t="shared" si="22"/>
        <v>0.05575802</v>
      </c>
      <c r="AA17" s="35">
        <f t="shared" si="46"/>
        <v>60352834</v>
      </c>
      <c r="AB17" s="39">
        <f t="shared" si="23"/>
        <v>0.3227</v>
      </c>
      <c r="AC17" s="524">
        <f t="shared" si="24"/>
        <v>126664810</v>
      </c>
      <c r="AD17" s="39">
        <f t="shared" si="25"/>
        <v>0.6773</v>
      </c>
      <c r="AE17" s="595">
        <f>'Table 7 Local Revenue'!AL16</f>
        <v>123862224</v>
      </c>
      <c r="AF17" s="35">
        <f t="shared" si="26"/>
        <v>63509390</v>
      </c>
      <c r="AG17" s="42">
        <f t="shared" si="27"/>
        <v>0</v>
      </c>
      <c r="AH17" s="35">
        <f t="shared" si="28"/>
        <v>61715823</v>
      </c>
      <c r="AI17" s="40">
        <f t="shared" si="29"/>
        <v>61715823</v>
      </c>
      <c r="AJ17" s="524">
        <f t="shared" si="30"/>
        <v>27573365</v>
      </c>
      <c r="AK17" s="39">
        <f t="shared" si="31"/>
        <v>0.44677950742064965</v>
      </c>
      <c r="AL17" s="35">
        <f t="shared" si="32"/>
        <v>0</v>
      </c>
      <c r="AM17" s="35">
        <f t="shared" si="33"/>
        <v>89289188</v>
      </c>
      <c r="AN17" s="35">
        <f t="shared" si="34"/>
        <v>154238175</v>
      </c>
      <c r="AO17" s="35">
        <f t="shared" si="0"/>
        <v>3509.16</v>
      </c>
      <c r="AP17" s="35">
        <f>'Table 4 Level 3'!AE14</f>
        <v>2802228</v>
      </c>
      <c r="AQ17" s="35">
        <f t="shared" si="35"/>
        <v>63.76</v>
      </c>
      <c r="AR17" s="524">
        <f t="shared" si="36"/>
        <v>157040403</v>
      </c>
      <c r="AS17" s="35">
        <f>AR17-'Table 2 Distribution &amp; Adjusts'!K14</f>
        <v>6769811.017786294</v>
      </c>
      <c r="AT17" s="524">
        <f t="shared" si="1"/>
        <v>3572.92</v>
      </c>
      <c r="AU17" s="34">
        <f t="shared" si="37"/>
        <v>41</v>
      </c>
      <c r="AV17" s="39">
        <f t="shared" si="2"/>
        <v>0.5626</v>
      </c>
      <c r="AW17" s="34">
        <f t="shared" si="38"/>
        <v>46</v>
      </c>
      <c r="AX17" s="35">
        <f t="shared" si="39"/>
        <v>122068657</v>
      </c>
      <c r="AY17" s="35">
        <f t="shared" si="3"/>
        <v>2777.25</v>
      </c>
      <c r="AZ17" s="34">
        <f t="shared" si="40"/>
        <v>16</v>
      </c>
      <c r="BA17" s="39">
        <f t="shared" si="41"/>
        <v>0.4374</v>
      </c>
      <c r="BB17" s="35">
        <f t="shared" si="4"/>
        <v>279109060</v>
      </c>
      <c r="BC17" s="35">
        <f t="shared" si="5"/>
        <v>6350.17</v>
      </c>
      <c r="BD17" s="34">
        <f t="shared" si="42"/>
        <v>13</v>
      </c>
      <c r="BE17" s="801">
        <v>37089.0130477685</v>
      </c>
      <c r="BF17" s="383">
        <f t="shared" si="43"/>
        <v>39149.0130477685</v>
      </c>
      <c r="BG17" s="519">
        <f t="shared" si="44"/>
        <v>1</v>
      </c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s="54" customFormat="1" ht="12.75">
      <c r="A18" s="668">
        <v>10</v>
      </c>
      <c r="B18" s="498" t="s">
        <v>15</v>
      </c>
      <c r="C18" s="498">
        <f>+'Table 8 Membership'!U18</f>
        <v>31440</v>
      </c>
      <c r="D18" s="498">
        <v>13972</v>
      </c>
      <c r="E18" s="472">
        <f t="shared" si="6"/>
        <v>7571500</v>
      </c>
      <c r="F18" s="669">
        <f t="shared" si="45"/>
        <v>2375</v>
      </c>
      <c r="G18" s="498">
        <f>+'[5]Sheet1'!C12</f>
        <v>6459</v>
      </c>
      <c r="H18" s="472">
        <f t="shared" si="7"/>
        <v>1029724</v>
      </c>
      <c r="I18" s="498">
        <f t="shared" si="8"/>
        <v>323</v>
      </c>
      <c r="J18" s="495">
        <f>+'[8]A'!C17</f>
        <v>4611</v>
      </c>
      <c r="K18" s="472">
        <f t="shared" si="9"/>
        <v>22051396</v>
      </c>
      <c r="L18" s="498">
        <f t="shared" si="10"/>
        <v>6917</v>
      </c>
      <c r="M18" s="495">
        <f>+'[8]A'!D17</f>
        <v>1069</v>
      </c>
      <c r="N18" s="49">
        <f t="shared" si="11"/>
        <v>2043508</v>
      </c>
      <c r="O18" s="48">
        <f t="shared" si="12"/>
        <v>641</v>
      </c>
      <c r="P18" s="48">
        <f t="shared" si="13"/>
        <v>0</v>
      </c>
      <c r="Q18" s="367">
        <f t="shared" si="14"/>
        <v>0</v>
      </c>
      <c r="R18" s="49">
        <f t="shared" si="15"/>
        <v>0</v>
      </c>
      <c r="S18" s="48">
        <f t="shared" si="16"/>
        <v>0</v>
      </c>
      <c r="T18" s="48">
        <f t="shared" si="17"/>
        <v>10256</v>
      </c>
      <c r="U18" s="34">
        <f t="shared" si="18"/>
        <v>41696</v>
      </c>
      <c r="V18" s="49">
        <f t="shared" si="19"/>
        <v>3188</v>
      </c>
      <c r="W18" s="49">
        <f t="shared" si="20"/>
        <v>132926848</v>
      </c>
      <c r="X18" s="51">
        <f>'Table 6 Local Wealth Factor'!L17</f>
        <v>1.17028794</v>
      </c>
      <c r="Y18" s="51">
        <f t="shared" si="21"/>
        <v>0.04298238</v>
      </c>
      <c r="Z18" s="51">
        <f t="shared" si="22"/>
        <v>0.05030176</v>
      </c>
      <c r="AA18" s="49">
        <f t="shared" si="46"/>
        <v>54446944</v>
      </c>
      <c r="AB18" s="52">
        <f t="shared" si="23"/>
        <v>0.4096</v>
      </c>
      <c r="AC18" s="525">
        <f t="shared" si="24"/>
        <v>78479904</v>
      </c>
      <c r="AD18" s="52">
        <f t="shared" si="25"/>
        <v>0.5904</v>
      </c>
      <c r="AE18" s="596">
        <f>'Table 7 Local Revenue'!AL17</f>
        <v>91274864.5</v>
      </c>
      <c r="AF18" s="49">
        <f t="shared" si="26"/>
        <v>36827920.5</v>
      </c>
      <c r="AG18" s="61">
        <f t="shared" si="27"/>
        <v>0</v>
      </c>
      <c r="AH18" s="49">
        <f t="shared" si="28"/>
        <v>43865860</v>
      </c>
      <c r="AI18" s="53">
        <f t="shared" si="29"/>
        <v>36827920.5</v>
      </c>
      <c r="AJ18" s="525">
        <f t="shared" si="30"/>
        <v>10968358</v>
      </c>
      <c r="AK18" s="52">
        <f t="shared" si="31"/>
        <v>0.29782724224138585</v>
      </c>
      <c r="AL18" s="49">
        <f t="shared" si="32"/>
        <v>2096090</v>
      </c>
      <c r="AM18" s="49">
        <f t="shared" si="33"/>
        <v>47796278.5</v>
      </c>
      <c r="AN18" s="49">
        <f t="shared" si="34"/>
        <v>89448262</v>
      </c>
      <c r="AO18" s="49">
        <f t="shared" si="0"/>
        <v>2845.05</v>
      </c>
      <c r="AP18" s="49">
        <f>'Table 4 Level 3'!AE15</f>
        <v>1197890</v>
      </c>
      <c r="AQ18" s="49">
        <f t="shared" si="35"/>
        <v>38.1</v>
      </c>
      <c r="AR18" s="525">
        <f t="shared" si="36"/>
        <v>90646152</v>
      </c>
      <c r="AS18" s="49">
        <f>AR18-'Table 2 Distribution &amp; Adjusts'!K15</f>
        <v>4356403.110358998</v>
      </c>
      <c r="AT18" s="525">
        <f t="shared" si="1"/>
        <v>2883.15</v>
      </c>
      <c r="AU18" s="48">
        <f t="shared" si="37"/>
        <v>55</v>
      </c>
      <c r="AV18" s="52">
        <f t="shared" si="2"/>
        <v>0.4983</v>
      </c>
      <c r="AW18" s="48">
        <f t="shared" si="38"/>
        <v>54</v>
      </c>
      <c r="AX18" s="49">
        <f t="shared" si="39"/>
        <v>91274864.5</v>
      </c>
      <c r="AY18" s="49">
        <f t="shared" si="3"/>
        <v>2903.14</v>
      </c>
      <c r="AZ18" s="48">
        <f t="shared" si="40"/>
        <v>15</v>
      </c>
      <c r="BA18" s="52">
        <f t="shared" si="41"/>
        <v>0.5017</v>
      </c>
      <c r="BB18" s="49">
        <f t="shared" si="4"/>
        <v>181921016.5</v>
      </c>
      <c r="BC18" s="49">
        <f t="shared" si="5"/>
        <v>5786.29</v>
      </c>
      <c r="BD18" s="48">
        <f t="shared" si="42"/>
        <v>28</v>
      </c>
      <c r="BE18" s="802">
        <v>34392.9694745436</v>
      </c>
      <c r="BF18" s="384">
        <f t="shared" si="43"/>
        <v>36452.9694745436</v>
      </c>
      <c r="BG18" s="520">
        <f t="shared" si="44"/>
        <v>12</v>
      </c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s="6" customFormat="1" ht="12.75">
      <c r="A19" s="666">
        <v>11</v>
      </c>
      <c r="B19" s="495" t="s">
        <v>16</v>
      </c>
      <c r="C19" s="495">
        <f>+'Table 8 Membership'!U19</f>
        <v>1828</v>
      </c>
      <c r="D19" s="495">
        <v>942</v>
      </c>
      <c r="E19" s="469">
        <f t="shared" si="6"/>
        <v>510080</v>
      </c>
      <c r="F19" s="667">
        <f t="shared" si="45"/>
        <v>160</v>
      </c>
      <c r="G19" s="495">
        <f>+'[5]Sheet1'!C13</f>
        <v>594</v>
      </c>
      <c r="H19" s="469">
        <f t="shared" si="7"/>
        <v>95640</v>
      </c>
      <c r="I19" s="495">
        <f t="shared" si="8"/>
        <v>30</v>
      </c>
      <c r="J19" s="495">
        <f>+'[8]A'!C18</f>
        <v>218</v>
      </c>
      <c r="K19" s="469">
        <f t="shared" si="9"/>
        <v>1042476</v>
      </c>
      <c r="L19" s="495">
        <f t="shared" si="10"/>
        <v>327</v>
      </c>
      <c r="M19" s="495">
        <f>+'[8]A'!D18</f>
        <v>32</v>
      </c>
      <c r="N19" s="35">
        <f t="shared" si="11"/>
        <v>60572</v>
      </c>
      <c r="O19" s="34">
        <f t="shared" si="12"/>
        <v>19</v>
      </c>
      <c r="P19" s="34">
        <f t="shared" si="13"/>
        <v>5672</v>
      </c>
      <c r="Q19" s="366">
        <f t="shared" si="14"/>
        <v>0.15125</v>
      </c>
      <c r="R19" s="35">
        <f t="shared" si="15"/>
        <v>879888</v>
      </c>
      <c r="S19" s="34">
        <f t="shared" si="16"/>
        <v>276</v>
      </c>
      <c r="T19" s="34">
        <f t="shared" si="17"/>
        <v>812</v>
      </c>
      <c r="U19" s="126">
        <f t="shared" si="18"/>
        <v>2640</v>
      </c>
      <c r="V19" s="35">
        <f t="shared" si="19"/>
        <v>3188</v>
      </c>
      <c r="W19" s="35">
        <f t="shared" si="20"/>
        <v>8416320</v>
      </c>
      <c r="X19" s="38">
        <f>'Table 6 Local Wealth Factor'!L18</f>
        <v>0.4529815</v>
      </c>
      <c r="Y19" s="38">
        <f t="shared" si="21"/>
        <v>0.00272145</v>
      </c>
      <c r="Z19" s="38">
        <f t="shared" si="22"/>
        <v>0.00123277</v>
      </c>
      <c r="AA19" s="35">
        <f t="shared" si="46"/>
        <v>1334358</v>
      </c>
      <c r="AB19" s="39">
        <f t="shared" si="23"/>
        <v>0.1585</v>
      </c>
      <c r="AC19" s="524">
        <f t="shared" si="24"/>
        <v>7081962</v>
      </c>
      <c r="AD19" s="39">
        <f t="shared" si="25"/>
        <v>0.8415</v>
      </c>
      <c r="AE19" s="595">
        <f>'Table 7 Local Revenue'!AL18</f>
        <v>2183037.5</v>
      </c>
      <c r="AF19" s="35">
        <f t="shared" si="26"/>
        <v>848679.5</v>
      </c>
      <c r="AG19" s="42">
        <f t="shared" si="27"/>
        <v>0</v>
      </c>
      <c r="AH19" s="35">
        <f t="shared" si="28"/>
        <v>2777386</v>
      </c>
      <c r="AI19" s="40">
        <f t="shared" si="29"/>
        <v>848679.5</v>
      </c>
      <c r="AJ19" s="524">
        <f t="shared" si="30"/>
        <v>618018</v>
      </c>
      <c r="AK19" s="39">
        <f t="shared" si="31"/>
        <v>0.728211297668908</v>
      </c>
      <c r="AL19" s="35">
        <f t="shared" si="32"/>
        <v>1404505</v>
      </c>
      <c r="AM19" s="35">
        <f t="shared" si="33"/>
        <v>1466697.5</v>
      </c>
      <c r="AN19" s="35">
        <f t="shared" si="34"/>
        <v>7699980</v>
      </c>
      <c r="AO19" s="35">
        <f t="shared" si="0"/>
        <v>4212.24</v>
      </c>
      <c r="AP19" s="35">
        <f>'Table 4 Level 3'!AE16</f>
        <v>63930</v>
      </c>
      <c r="AQ19" s="35">
        <f t="shared" si="35"/>
        <v>34.97</v>
      </c>
      <c r="AR19" s="524">
        <f t="shared" si="36"/>
        <v>7763910</v>
      </c>
      <c r="AS19" s="35">
        <f>AR19-'Table 2 Distribution &amp; Adjusts'!K16</f>
        <v>461006.64641976636</v>
      </c>
      <c r="AT19" s="524">
        <f t="shared" si="1"/>
        <v>4247.22</v>
      </c>
      <c r="AU19" s="34">
        <f t="shared" si="37"/>
        <v>9</v>
      </c>
      <c r="AV19" s="39">
        <f t="shared" si="2"/>
        <v>0.7805</v>
      </c>
      <c r="AW19" s="34">
        <f t="shared" si="38"/>
        <v>10</v>
      </c>
      <c r="AX19" s="35">
        <f t="shared" si="39"/>
        <v>2183037.5</v>
      </c>
      <c r="AY19" s="35">
        <f t="shared" si="3"/>
        <v>1194.22</v>
      </c>
      <c r="AZ19" s="34">
        <f t="shared" si="40"/>
        <v>54</v>
      </c>
      <c r="BA19" s="39">
        <f t="shared" si="41"/>
        <v>0.2195</v>
      </c>
      <c r="BB19" s="35">
        <f t="shared" si="4"/>
        <v>9946947.5</v>
      </c>
      <c r="BC19" s="35">
        <f t="shared" si="5"/>
        <v>5441.44</v>
      </c>
      <c r="BD19" s="34">
        <f t="shared" si="42"/>
        <v>46</v>
      </c>
      <c r="BE19" s="801">
        <v>30454.6607187275</v>
      </c>
      <c r="BF19" s="383">
        <f t="shared" si="43"/>
        <v>32514.6607187275</v>
      </c>
      <c r="BG19" s="519">
        <f t="shared" si="44"/>
        <v>50</v>
      </c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s="6" customFormat="1" ht="12.75">
      <c r="A20" s="666">
        <v>12</v>
      </c>
      <c r="B20" s="495" t="s">
        <v>17</v>
      </c>
      <c r="C20" s="495">
        <f>+'Table 8 Membership'!U20</f>
        <v>1885</v>
      </c>
      <c r="D20" s="495">
        <v>737</v>
      </c>
      <c r="E20" s="469">
        <f t="shared" si="6"/>
        <v>398500</v>
      </c>
      <c r="F20" s="667">
        <f t="shared" si="45"/>
        <v>125</v>
      </c>
      <c r="G20" s="495">
        <f>+'[5]Sheet1'!C14</f>
        <v>609</v>
      </c>
      <c r="H20" s="469">
        <f t="shared" si="7"/>
        <v>95640</v>
      </c>
      <c r="I20" s="495">
        <f t="shared" si="8"/>
        <v>30</v>
      </c>
      <c r="J20" s="495">
        <f>+'[8]A'!C19</f>
        <v>281</v>
      </c>
      <c r="K20" s="469">
        <f t="shared" si="9"/>
        <v>1345336</v>
      </c>
      <c r="L20" s="495">
        <f t="shared" si="10"/>
        <v>422</v>
      </c>
      <c r="M20" s="495">
        <f>+'[8]A'!D19</f>
        <v>117</v>
      </c>
      <c r="N20" s="35">
        <f t="shared" si="11"/>
        <v>223160</v>
      </c>
      <c r="O20" s="34">
        <f t="shared" si="12"/>
        <v>70</v>
      </c>
      <c r="P20" s="34">
        <f t="shared" si="13"/>
        <v>5615</v>
      </c>
      <c r="Q20" s="366">
        <f t="shared" si="14"/>
        <v>0.14973</v>
      </c>
      <c r="R20" s="35">
        <f t="shared" si="15"/>
        <v>899016</v>
      </c>
      <c r="S20" s="34">
        <f t="shared" si="16"/>
        <v>282</v>
      </c>
      <c r="T20" s="34">
        <f t="shared" si="17"/>
        <v>929</v>
      </c>
      <c r="U20" s="34">
        <f t="shared" si="18"/>
        <v>2814</v>
      </c>
      <c r="V20" s="35">
        <f t="shared" si="19"/>
        <v>3188</v>
      </c>
      <c r="W20" s="35">
        <f t="shared" si="20"/>
        <v>8971032</v>
      </c>
      <c r="X20" s="38">
        <f>'Table 6 Local Wealth Factor'!L19</f>
        <v>1.23418063</v>
      </c>
      <c r="Y20" s="38">
        <f t="shared" si="21"/>
        <v>0.00290082</v>
      </c>
      <c r="Z20" s="38">
        <f t="shared" si="22"/>
        <v>0.00358014</v>
      </c>
      <c r="AA20" s="35">
        <f t="shared" si="46"/>
        <v>3875166</v>
      </c>
      <c r="AB20" s="39">
        <f t="shared" si="23"/>
        <v>0.432</v>
      </c>
      <c r="AC20" s="524">
        <f t="shared" si="24"/>
        <v>5095866</v>
      </c>
      <c r="AD20" s="39">
        <f t="shared" si="25"/>
        <v>0.568</v>
      </c>
      <c r="AE20" s="595">
        <f>'Table 7 Local Revenue'!AL19</f>
        <v>8516988</v>
      </c>
      <c r="AF20" s="35">
        <f t="shared" si="26"/>
        <v>4641822</v>
      </c>
      <c r="AG20" s="42">
        <f t="shared" si="27"/>
        <v>0</v>
      </c>
      <c r="AH20" s="35">
        <f t="shared" si="28"/>
        <v>2960441</v>
      </c>
      <c r="AI20" s="40">
        <f t="shared" si="29"/>
        <v>2960441</v>
      </c>
      <c r="AJ20" s="524">
        <f t="shared" si="30"/>
        <v>768210</v>
      </c>
      <c r="AK20" s="39">
        <f t="shared" si="31"/>
        <v>0.25949174464209895</v>
      </c>
      <c r="AL20" s="35">
        <f t="shared" si="32"/>
        <v>0</v>
      </c>
      <c r="AM20" s="35">
        <f t="shared" si="33"/>
        <v>3728651</v>
      </c>
      <c r="AN20" s="35">
        <f t="shared" si="34"/>
        <v>5864076</v>
      </c>
      <c r="AO20" s="35">
        <f t="shared" si="0"/>
        <v>3110.92</v>
      </c>
      <c r="AP20" s="35">
        <f>'Table 4 Level 3'!AE17</f>
        <v>397374</v>
      </c>
      <c r="AQ20" s="35">
        <f t="shared" si="35"/>
        <v>210.81</v>
      </c>
      <c r="AR20" s="524">
        <f t="shared" si="36"/>
        <v>6261450</v>
      </c>
      <c r="AS20" s="35">
        <f>AR20-'Table 2 Distribution &amp; Adjusts'!K17</f>
        <v>331018.91466472484</v>
      </c>
      <c r="AT20" s="524">
        <f t="shared" si="1"/>
        <v>3321.72</v>
      </c>
      <c r="AU20" s="34">
        <f t="shared" si="37"/>
        <v>47</v>
      </c>
      <c r="AV20" s="39">
        <f t="shared" si="2"/>
        <v>0.4781</v>
      </c>
      <c r="AW20" s="34">
        <f t="shared" si="38"/>
        <v>57</v>
      </c>
      <c r="AX20" s="35">
        <f t="shared" si="39"/>
        <v>6835607</v>
      </c>
      <c r="AY20" s="35">
        <f t="shared" si="3"/>
        <v>3626.32</v>
      </c>
      <c r="AZ20" s="34">
        <f t="shared" si="40"/>
        <v>7</v>
      </c>
      <c r="BA20" s="39">
        <f t="shared" si="41"/>
        <v>0.5219</v>
      </c>
      <c r="BB20" s="35">
        <f t="shared" si="4"/>
        <v>13097057</v>
      </c>
      <c r="BC20" s="35">
        <f t="shared" si="5"/>
        <v>6948.04</v>
      </c>
      <c r="BD20" s="34">
        <f t="shared" si="42"/>
        <v>4</v>
      </c>
      <c r="BE20" s="801">
        <v>32695.4328185508</v>
      </c>
      <c r="BF20" s="383">
        <f t="shared" si="43"/>
        <v>34755.4328185508</v>
      </c>
      <c r="BG20" s="519">
        <f t="shared" si="44"/>
        <v>31</v>
      </c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s="6" customFormat="1" ht="12.75">
      <c r="A21" s="666">
        <v>13</v>
      </c>
      <c r="B21" s="495" t="s">
        <v>18</v>
      </c>
      <c r="C21" s="495">
        <f>+'Table 8 Membership'!U21</f>
        <v>1813</v>
      </c>
      <c r="D21" s="495">
        <v>1068</v>
      </c>
      <c r="E21" s="469">
        <f t="shared" si="6"/>
        <v>580216</v>
      </c>
      <c r="F21" s="667">
        <f t="shared" si="45"/>
        <v>182</v>
      </c>
      <c r="G21" s="495">
        <f>+'[5]Sheet1'!C15</f>
        <v>684</v>
      </c>
      <c r="H21" s="469">
        <f t="shared" si="7"/>
        <v>108392</v>
      </c>
      <c r="I21" s="495">
        <f t="shared" si="8"/>
        <v>34</v>
      </c>
      <c r="J21" s="495">
        <f>+'[8]A'!C20</f>
        <v>207</v>
      </c>
      <c r="K21" s="469">
        <f t="shared" si="9"/>
        <v>991468</v>
      </c>
      <c r="L21" s="495">
        <f t="shared" si="10"/>
        <v>311</v>
      </c>
      <c r="M21" s="495">
        <f>+'[8]A'!D20</f>
        <v>52</v>
      </c>
      <c r="N21" s="35">
        <f t="shared" si="11"/>
        <v>98828</v>
      </c>
      <c r="O21" s="34">
        <f t="shared" si="12"/>
        <v>31</v>
      </c>
      <c r="P21" s="34">
        <f t="shared" si="13"/>
        <v>5687</v>
      </c>
      <c r="Q21" s="366">
        <f t="shared" si="14"/>
        <v>0.15165</v>
      </c>
      <c r="R21" s="35">
        <f t="shared" si="15"/>
        <v>876700</v>
      </c>
      <c r="S21" s="34">
        <f t="shared" si="16"/>
        <v>275</v>
      </c>
      <c r="T21" s="34">
        <f t="shared" si="17"/>
        <v>833</v>
      </c>
      <c r="U21" s="34">
        <f t="shared" si="18"/>
        <v>2646</v>
      </c>
      <c r="V21" s="35">
        <f t="shared" si="19"/>
        <v>3188</v>
      </c>
      <c r="W21" s="35">
        <f t="shared" si="20"/>
        <v>8435448</v>
      </c>
      <c r="X21" s="38">
        <f>'Table 6 Local Wealth Factor'!L20</f>
        <v>0.51115237</v>
      </c>
      <c r="Y21" s="38">
        <f t="shared" si="21"/>
        <v>0.00272763</v>
      </c>
      <c r="Z21" s="38">
        <f t="shared" si="22"/>
        <v>0.00139423</v>
      </c>
      <c r="AA21" s="35">
        <f t="shared" si="46"/>
        <v>1509123</v>
      </c>
      <c r="AB21" s="39">
        <f t="shared" si="23"/>
        <v>0.1789</v>
      </c>
      <c r="AC21" s="524">
        <f t="shared" si="24"/>
        <v>6926325</v>
      </c>
      <c r="AD21" s="39">
        <f t="shared" si="25"/>
        <v>0.8211</v>
      </c>
      <c r="AE21" s="595">
        <f>'Table 7 Local Revenue'!AL20</f>
        <v>2636006.5</v>
      </c>
      <c r="AF21" s="35">
        <f t="shared" si="26"/>
        <v>1126883.5</v>
      </c>
      <c r="AG21" s="42">
        <f t="shared" si="27"/>
        <v>0</v>
      </c>
      <c r="AH21" s="35">
        <f t="shared" si="28"/>
        <v>2783698</v>
      </c>
      <c r="AI21" s="40">
        <f t="shared" si="29"/>
        <v>1126883.5</v>
      </c>
      <c r="AJ21" s="524">
        <f t="shared" si="30"/>
        <v>781278</v>
      </c>
      <c r="AK21" s="39">
        <f t="shared" si="31"/>
        <v>0.6933085807006669</v>
      </c>
      <c r="AL21" s="35">
        <f t="shared" si="32"/>
        <v>1148684</v>
      </c>
      <c r="AM21" s="35">
        <f t="shared" si="33"/>
        <v>1908161.5</v>
      </c>
      <c r="AN21" s="35">
        <f t="shared" si="34"/>
        <v>7707603</v>
      </c>
      <c r="AO21" s="35">
        <f t="shared" si="0"/>
        <v>4251.3</v>
      </c>
      <c r="AP21" s="35">
        <f>'Table 4 Level 3'!AE18</f>
        <v>131371</v>
      </c>
      <c r="AQ21" s="35">
        <f t="shared" si="35"/>
        <v>72.46</v>
      </c>
      <c r="AR21" s="524">
        <f t="shared" si="36"/>
        <v>7838974</v>
      </c>
      <c r="AS21" s="35">
        <f>AR21-'Table 2 Distribution &amp; Adjusts'!K18</f>
        <v>368830.9418947231</v>
      </c>
      <c r="AT21" s="524">
        <f t="shared" si="1"/>
        <v>4323.76</v>
      </c>
      <c r="AU21" s="34">
        <f t="shared" si="37"/>
        <v>6</v>
      </c>
      <c r="AV21" s="39">
        <f t="shared" si="2"/>
        <v>0.7484</v>
      </c>
      <c r="AW21" s="34">
        <f t="shared" si="38"/>
        <v>15</v>
      </c>
      <c r="AX21" s="35">
        <f t="shared" si="39"/>
        <v>2636006.5</v>
      </c>
      <c r="AY21" s="35">
        <f t="shared" si="3"/>
        <v>1453.95</v>
      </c>
      <c r="AZ21" s="34">
        <f t="shared" si="40"/>
        <v>47</v>
      </c>
      <c r="BA21" s="39">
        <f t="shared" si="41"/>
        <v>0.2516</v>
      </c>
      <c r="BB21" s="35">
        <f t="shared" si="4"/>
        <v>10474980.5</v>
      </c>
      <c r="BC21" s="35">
        <f t="shared" si="5"/>
        <v>5777.71</v>
      </c>
      <c r="BD21" s="34">
        <f t="shared" si="42"/>
        <v>31</v>
      </c>
      <c r="BE21" s="801">
        <v>26313.3588676713</v>
      </c>
      <c r="BF21" s="383">
        <f t="shared" si="43"/>
        <v>28373.3588676713</v>
      </c>
      <c r="BG21" s="519">
        <f t="shared" si="44"/>
        <v>66</v>
      </c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s="6" customFormat="1" ht="12.75">
      <c r="A22" s="666">
        <v>14</v>
      </c>
      <c r="B22" s="495" t="s">
        <v>19</v>
      </c>
      <c r="C22" s="495">
        <f>+'Table 8 Membership'!U22</f>
        <v>2712</v>
      </c>
      <c r="D22" s="495">
        <v>1781</v>
      </c>
      <c r="E22" s="469">
        <f t="shared" si="6"/>
        <v>965964</v>
      </c>
      <c r="F22" s="667">
        <f t="shared" si="45"/>
        <v>303</v>
      </c>
      <c r="G22" s="495">
        <f>+'[5]Sheet1'!C16</f>
        <v>655</v>
      </c>
      <c r="H22" s="469">
        <f t="shared" si="7"/>
        <v>105204</v>
      </c>
      <c r="I22" s="495">
        <f t="shared" si="8"/>
        <v>33</v>
      </c>
      <c r="J22" s="495">
        <f>+'[8]A'!C21</f>
        <v>460</v>
      </c>
      <c r="K22" s="469">
        <f t="shared" si="9"/>
        <v>2199720</v>
      </c>
      <c r="L22" s="495">
        <f t="shared" si="10"/>
        <v>690</v>
      </c>
      <c r="M22" s="495">
        <f>+'[8]A'!D21</f>
        <v>167</v>
      </c>
      <c r="N22" s="35">
        <f t="shared" si="11"/>
        <v>318800</v>
      </c>
      <c r="O22" s="34">
        <f t="shared" si="12"/>
        <v>100</v>
      </c>
      <c r="P22" s="34">
        <f t="shared" si="13"/>
        <v>4788</v>
      </c>
      <c r="Q22" s="366">
        <f t="shared" si="14"/>
        <v>0.12768</v>
      </c>
      <c r="R22" s="35">
        <f t="shared" si="15"/>
        <v>1103048</v>
      </c>
      <c r="S22" s="34">
        <f t="shared" si="16"/>
        <v>346</v>
      </c>
      <c r="T22" s="34">
        <f t="shared" si="17"/>
        <v>1472</v>
      </c>
      <c r="U22" s="34">
        <f t="shared" si="18"/>
        <v>4184</v>
      </c>
      <c r="V22" s="35">
        <f t="shared" si="19"/>
        <v>3188</v>
      </c>
      <c r="W22" s="35">
        <f t="shared" si="20"/>
        <v>13338592</v>
      </c>
      <c r="X22" s="38">
        <f>'Table 6 Local Wealth Factor'!L21</f>
        <v>0.65981065</v>
      </c>
      <c r="Y22" s="38">
        <f t="shared" si="21"/>
        <v>0.00431308</v>
      </c>
      <c r="Z22" s="38">
        <f t="shared" si="22"/>
        <v>0.00284582</v>
      </c>
      <c r="AA22" s="35">
        <f t="shared" si="46"/>
        <v>3080334</v>
      </c>
      <c r="AB22" s="39">
        <f t="shared" si="23"/>
        <v>0.2309</v>
      </c>
      <c r="AC22" s="524">
        <f t="shared" si="24"/>
        <v>10258258</v>
      </c>
      <c r="AD22" s="39">
        <f t="shared" si="25"/>
        <v>0.7691</v>
      </c>
      <c r="AE22" s="595">
        <f>'Table 7 Local Revenue'!AL21</f>
        <v>4376927.5</v>
      </c>
      <c r="AF22" s="35">
        <f t="shared" si="26"/>
        <v>1296593.5</v>
      </c>
      <c r="AG22" s="42">
        <f t="shared" si="27"/>
        <v>0</v>
      </c>
      <c r="AH22" s="35">
        <f t="shared" si="28"/>
        <v>4401735</v>
      </c>
      <c r="AI22" s="40">
        <f t="shared" si="29"/>
        <v>1296593.5</v>
      </c>
      <c r="AJ22" s="524">
        <f t="shared" si="30"/>
        <v>783290</v>
      </c>
      <c r="AK22" s="39">
        <f t="shared" si="31"/>
        <v>0.6041137796849977</v>
      </c>
      <c r="AL22" s="35">
        <f t="shared" si="32"/>
        <v>1875858</v>
      </c>
      <c r="AM22" s="35">
        <f t="shared" si="33"/>
        <v>2079883.5</v>
      </c>
      <c r="AN22" s="35">
        <f t="shared" si="34"/>
        <v>11041548</v>
      </c>
      <c r="AO22" s="35">
        <f t="shared" si="0"/>
        <v>4071.37</v>
      </c>
      <c r="AP22" s="35">
        <f>'Table 4 Level 3'!AE19</f>
        <v>302672</v>
      </c>
      <c r="AQ22" s="35">
        <f t="shared" si="35"/>
        <v>111.6</v>
      </c>
      <c r="AR22" s="524">
        <f t="shared" si="36"/>
        <v>11344220</v>
      </c>
      <c r="AS22" s="35">
        <f>AR22-'Table 2 Distribution &amp; Adjusts'!K19</f>
        <v>535641.2255690228</v>
      </c>
      <c r="AT22" s="524">
        <f t="shared" si="1"/>
        <v>4182.97</v>
      </c>
      <c r="AU22" s="34">
        <f t="shared" si="37"/>
        <v>14</v>
      </c>
      <c r="AV22" s="39">
        <f t="shared" si="2"/>
        <v>0.7216</v>
      </c>
      <c r="AW22" s="34">
        <f t="shared" si="38"/>
        <v>24</v>
      </c>
      <c r="AX22" s="35">
        <f t="shared" si="39"/>
        <v>4376927.5</v>
      </c>
      <c r="AY22" s="35">
        <f t="shared" si="3"/>
        <v>1613.91</v>
      </c>
      <c r="AZ22" s="34">
        <f t="shared" si="40"/>
        <v>42</v>
      </c>
      <c r="BA22" s="39">
        <f t="shared" si="41"/>
        <v>0.2784</v>
      </c>
      <c r="BB22" s="35">
        <f t="shared" si="4"/>
        <v>15721147.5</v>
      </c>
      <c r="BC22" s="35">
        <f t="shared" si="5"/>
        <v>5796.88</v>
      </c>
      <c r="BD22" s="34">
        <f t="shared" si="42"/>
        <v>27</v>
      </c>
      <c r="BE22" s="801">
        <v>30977.4212473123</v>
      </c>
      <c r="BF22" s="383">
        <f t="shared" si="43"/>
        <v>33037.421247312304</v>
      </c>
      <c r="BG22" s="519">
        <f t="shared" si="44"/>
        <v>46</v>
      </c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s="54" customFormat="1" ht="12.75">
      <c r="A23" s="668">
        <v>15</v>
      </c>
      <c r="B23" s="498" t="s">
        <v>20</v>
      </c>
      <c r="C23" s="498">
        <f>+'Table 8 Membership'!U23</f>
        <v>3769</v>
      </c>
      <c r="D23" s="498">
        <v>2763</v>
      </c>
      <c r="E23" s="472">
        <f t="shared" si="6"/>
        <v>1498360</v>
      </c>
      <c r="F23" s="669">
        <f t="shared" si="45"/>
        <v>470</v>
      </c>
      <c r="G23" s="498">
        <f>+'[5]Sheet1'!C17</f>
        <v>1031</v>
      </c>
      <c r="H23" s="472">
        <f t="shared" si="7"/>
        <v>165776</v>
      </c>
      <c r="I23" s="498">
        <f t="shared" si="8"/>
        <v>52</v>
      </c>
      <c r="J23" s="495">
        <f>+'[8]A'!C22</f>
        <v>415</v>
      </c>
      <c r="K23" s="472">
        <f t="shared" si="9"/>
        <v>1986124</v>
      </c>
      <c r="L23" s="498">
        <f t="shared" si="10"/>
        <v>623</v>
      </c>
      <c r="M23" s="495">
        <f>+'[8]A'!D22</f>
        <v>38</v>
      </c>
      <c r="N23" s="49">
        <f t="shared" si="11"/>
        <v>73324</v>
      </c>
      <c r="O23" s="48">
        <f t="shared" si="12"/>
        <v>23</v>
      </c>
      <c r="P23" s="48">
        <f t="shared" si="13"/>
        <v>3731</v>
      </c>
      <c r="Q23" s="367">
        <f t="shared" si="14"/>
        <v>0.09949</v>
      </c>
      <c r="R23" s="49">
        <f t="shared" si="15"/>
        <v>1195500</v>
      </c>
      <c r="S23" s="48">
        <f t="shared" si="16"/>
        <v>375</v>
      </c>
      <c r="T23" s="48">
        <f t="shared" si="17"/>
        <v>1543</v>
      </c>
      <c r="U23" s="34">
        <f t="shared" si="18"/>
        <v>5312</v>
      </c>
      <c r="V23" s="49">
        <f t="shared" si="19"/>
        <v>3188</v>
      </c>
      <c r="W23" s="49">
        <f t="shared" si="20"/>
        <v>16934656</v>
      </c>
      <c r="X23" s="51">
        <f>'Table 6 Local Wealth Factor'!L22</f>
        <v>0.61280031</v>
      </c>
      <c r="Y23" s="51">
        <f t="shared" si="21"/>
        <v>0.00547588</v>
      </c>
      <c r="Z23" s="51">
        <f t="shared" si="22"/>
        <v>0.00335562</v>
      </c>
      <c r="AA23" s="49">
        <f t="shared" si="46"/>
        <v>3632144</v>
      </c>
      <c r="AB23" s="52">
        <f t="shared" si="23"/>
        <v>0.2145</v>
      </c>
      <c r="AC23" s="525">
        <f t="shared" si="24"/>
        <v>13302512</v>
      </c>
      <c r="AD23" s="52">
        <f t="shared" si="25"/>
        <v>0.7855</v>
      </c>
      <c r="AE23" s="596">
        <f>'Table 7 Local Revenue'!AL22</f>
        <v>6885441.5</v>
      </c>
      <c r="AF23" s="49">
        <f t="shared" si="26"/>
        <v>3253297.5</v>
      </c>
      <c r="AG23" s="61">
        <f t="shared" si="27"/>
        <v>0</v>
      </c>
      <c r="AH23" s="49">
        <f t="shared" si="28"/>
        <v>5588436</v>
      </c>
      <c r="AI23" s="53">
        <f t="shared" si="29"/>
        <v>3253297.5</v>
      </c>
      <c r="AJ23" s="525">
        <f t="shared" si="30"/>
        <v>2057124</v>
      </c>
      <c r="AK23" s="52">
        <f t="shared" si="31"/>
        <v>0.6323196695045565</v>
      </c>
      <c r="AL23" s="49">
        <f t="shared" si="32"/>
        <v>1476555</v>
      </c>
      <c r="AM23" s="49">
        <f t="shared" si="33"/>
        <v>5310421.5</v>
      </c>
      <c r="AN23" s="49">
        <f t="shared" si="34"/>
        <v>15359636</v>
      </c>
      <c r="AO23" s="49">
        <f t="shared" si="0"/>
        <v>4075.25</v>
      </c>
      <c r="AP23" s="49">
        <f>'Table 4 Level 3'!AE20</f>
        <v>-1335834</v>
      </c>
      <c r="AQ23" s="49">
        <f t="shared" si="35"/>
        <v>-354.43</v>
      </c>
      <c r="AR23" s="525">
        <f t="shared" si="36"/>
        <v>14023802</v>
      </c>
      <c r="AS23" s="49">
        <f>AR23-'Table 2 Distribution &amp; Adjusts'!K20</f>
        <v>633310.0139792021</v>
      </c>
      <c r="AT23" s="525">
        <f t="shared" si="1"/>
        <v>3720.83</v>
      </c>
      <c r="AU23" s="48">
        <f t="shared" si="37"/>
        <v>35</v>
      </c>
      <c r="AV23" s="52">
        <f t="shared" si="2"/>
        <v>0.6707</v>
      </c>
      <c r="AW23" s="48">
        <f t="shared" si="38"/>
        <v>31</v>
      </c>
      <c r="AX23" s="49">
        <f t="shared" si="39"/>
        <v>6885441.5</v>
      </c>
      <c r="AY23" s="49">
        <f t="shared" si="3"/>
        <v>1826.86</v>
      </c>
      <c r="AZ23" s="48">
        <f t="shared" si="40"/>
        <v>37</v>
      </c>
      <c r="BA23" s="52">
        <f t="shared" si="41"/>
        <v>0.3293</v>
      </c>
      <c r="BB23" s="49">
        <f t="shared" si="4"/>
        <v>20909243.5</v>
      </c>
      <c r="BC23" s="49">
        <f t="shared" si="5"/>
        <v>5547.69</v>
      </c>
      <c r="BD23" s="48">
        <f t="shared" si="42"/>
        <v>42</v>
      </c>
      <c r="BE23" s="802">
        <v>30743.5904164905</v>
      </c>
      <c r="BF23" s="384">
        <f t="shared" si="43"/>
        <v>32803.5904164905</v>
      </c>
      <c r="BG23" s="520">
        <f t="shared" si="44"/>
        <v>49</v>
      </c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s="6" customFormat="1" ht="12.75">
      <c r="A24" s="666">
        <v>16</v>
      </c>
      <c r="B24" s="495" t="s">
        <v>21</v>
      </c>
      <c r="C24" s="495">
        <f>+'Table 8 Membership'!U24</f>
        <v>4810</v>
      </c>
      <c r="D24" s="495">
        <v>3053</v>
      </c>
      <c r="E24" s="469">
        <f t="shared" si="6"/>
        <v>1654572</v>
      </c>
      <c r="F24" s="667">
        <f t="shared" si="45"/>
        <v>519</v>
      </c>
      <c r="G24" s="495">
        <f>+'[5]Sheet1'!C18</f>
        <v>2181</v>
      </c>
      <c r="H24" s="469">
        <f t="shared" si="7"/>
        <v>347492</v>
      </c>
      <c r="I24" s="495">
        <f t="shared" si="8"/>
        <v>109</v>
      </c>
      <c r="J24" s="495">
        <f>+'[8]A'!C23</f>
        <v>759</v>
      </c>
      <c r="K24" s="469">
        <f t="shared" si="9"/>
        <v>3631132</v>
      </c>
      <c r="L24" s="495">
        <f t="shared" si="10"/>
        <v>1139</v>
      </c>
      <c r="M24" s="495">
        <f>+'[8]A'!D23</f>
        <v>75</v>
      </c>
      <c r="N24" s="35">
        <f t="shared" si="11"/>
        <v>143460</v>
      </c>
      <c r="O24" s="34">
        <f t="shared" si="12"/>
        <v>45</v>
      </c>
      <c r="P24" s="34">
        <f t="shared" si="13"/>
        <v>2690</v>
      </c>
      <c r="Q24" s="366">
        <f t="shared" si="14"/>
        <v>0.07173</v>
      </c>
      <c r="R24" s="35">
        <f t="shared" si="15"/>
        <v>1099860</v>
      </c>
      <c r="S24" s="34">
        <f t="shared" si="16"/>
        <v>345</v>
      </c>
      <c r="T24" s="34">
        <f t="shared" si="17"/>
        <v>2157</v>
      </c>
      <c r="U24" s="126">
        <f t="shared" si="18"/>
        <v>6967</v>
      </c>
      <c r="V24" s="35">
        <f t="shared" si="19"/>
        <v>3188</v>
      </c>
      <c r="W24" s="35">
        <f t="shared" si="20"/>
        <v>22210796</v>
      </c>
      <c r="X24" s="38">
        <f>'Table 6 Local Wealth Factor'!L23</f>
        <v>0.916492</v>
      </c>
      <c r="Y24" s="38">
        <f t="shared" si="21"/>
        <v>0.00718194</v>
      </c>
      <c r="Z24" s="38">
        <f t="shared" si="22"/>
        <v>0.00658219</v>
      </c>
      <c r="AA24" s="35">
        <f t="shared" si="46"/>
        <v>7124604</v>
      </c>
      <c r="AB24" s="39">
        <f t="shared" si="23"/>
        <v>0.3208</v>
      </c>
      <c r="AC24" s="524">
        <f t="shared" si="24"/>
        <v>15086192</v>
      </c>
      <c r="AD24" s="39">
        <f t="shared" si="25"/>
        <v>0.6792</v>
      </c>
      <c r="AE24" s="595">
        <f>'Table 7 Local Revenue'!AL23</f>
        <v>15129963</v>
      </c>
      <c r="AF24" s="35">
        <f t="shared" si="26"/>
        <v>8005359</v>
      </c>
      <c r="AG24" s="42">
        <f t="shared" si="27"/>
        <v>0</v>
      </c>
      <c r="AH24" s="35">
        <f t="shared" si="28"/>
        <v>7329563</v>
      </c>
      <c r="AI24" s="40">
        <f t="shared" si="29"/>
        <v>7329563</v>
      </c>
      <c r="AJ24" s="524">
        <f t="shared" si="30"/>
        <v>3299071</v>
      </c>
      <c r="AK24" s="39">
        <f t="shared" si="31"/>
        <v>0.45010473339270024</v>
      </c>
      <c r="AL24" s="35">
        <f t="shared" si="32"/>
        <v>0</v>
      </c>
      <c r="AM24" s="35">
        <f t="shared" si="33"/>
        <v>10628634</v>
      </c>
      <c r="AN24" s="35">
        <f t="shared" si="34"/>
        <v>18385263</v>
      </c>
      <c r="AO24" s="35">
        <f t="shared" si="0"/>
        <v>3822.3</v>
      </c>
      <c r="AP24" s="35">
        <f>'Table 4 Level 3'!AE21</f>
        <v>-146731</v>
      </c>
      <c r="AQ24" s="35">
        <f t="shared" si="35"/>
        <v>-30.51</v>
      </c>
      <c r="AR24" s="524">
        <f t="shared" si="36"/>
        <v>18238532</v>
      </c>
      <c r="AS24" s="35">
        <f>AR24-'Table 2 Distribution &amp; Adjusts'!K21</f>
        <v>793084.8013453856</v>
      </c>
      <c r="AT24" s="524">
        <f t="shared" si="1"/>
        <v>3791.79</v>
      </c>
      <c r="AU24" s="34">
        <f t="shared" si="37"/>
        <v>30</v>
      </c>
      <c r="AV24" s="39">
        <f t="shared" si="2"/>
        <v>0.5579</v>
      </c>
      <c r="AW24" s="34">
        <f t="shared" si="38"/>
        <v>47</v>
      </c>
      <c r="AX24" s="35">
        <f t="shared" si="39"/>
        <v>14454167</v>
      </c>
      <c r="AY24" s="35">
        <f t="shared" si="3"/>
        <v>3005.02</v>
      </c>
      <c r="AZ24" s="34">
        <f t="shared" si="40"/>
        <v>13</v>
      </c>
      <c r="BA24" s="39">
        <f t="shared" si="41"/>
        <v>0.4421</v>
      </c>
      <c r="BB24" s="35">
        <f t="shared" si="4"/>
        <v>32692699</v>
      </c>
      <c r="BC24" s="35">
        <f t="shared" si="5"/>
        <v>6796.82</v>
      </c>
      <c r="BD24" s="34">
        <f t="shared" si="42"/>
        <v>7</v>
      </c>
      <c r="BE24" s="801">
        <v>31514.8532791283</v>
      </c>
      <c r="BF24" s="383">
        <f t="shared" si="43"/>
        <v>33574.8532791283</v>
      </c>
      <c r="BG24" s="519">
        <f t="shared" si="44"/>
        <v>41</v>
      </c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1:156" s="6" customFormat="1" ht="12.75">
      <c r="A25" s="666">
        <v>17</v>
      </c>
      <c r="B25" s="495" t="s">
        <v>22</v>
      </c>
      <c r="C25" s="495">
        <f>+'Table 8 Membership'!U25</f>
        <v>51323</v>
      </c>
      <c r="D25" s="495">
        <v>32843</v>
      </c>
      <c r="E25" s="469">
        <f t="shared" si="6"/>
        <v>17798604</v>
      </c>
      <c r="F25" s="667">
        <f t="shared" si="45"/>
        <v>5583</v>
      </c>
      <c r="G25" s="495">
        <f>+'[5]Sheet1'!C19</f>
        <v>11854</v>
      </c>
      <c r="H25" s="469">
        <f t="shared" si="7"/>
        <v>1890484</v>
      </c>
      <c r="I25" s="495">
        <f t="shared" si="8"/>
        <v>593</v>
      </c>
      <c r="J25" s="495">
        <f>+'[8]A'!C24</f>
        <v>5910</v>
      </c>
      <c r="K25" s="469">
        <f t="shared" si="9"/>
        <v>28261620</v>
      </c>
      <c r="L25" s="495">
        <f t="shared" si="10"/>
        <v>8865</v>
      </c>
      <c r="M25" s="495">
        <f>+'[8]A'!D24</f>
        <v>1367</v>
      </c>
      <c r="N25" s="35">
        <f t="shared" si="11"/>
        <v>2614160</v>
      </c>
      <c r="O25" s="34">
        <f t="shared" si="12"/>
        <v>820</v>
      </c>
      <c r="P25" s="34">
        <f t="shared" si="13"/>
        <v>0</v>
      </c>
      <c r="Q25" s="366">
        <f t="shared" si="14"/>
        <v>0</v>
      </c>
      <c r="R25" s="35">
        <f t="shared" si="15"/>
        <v>0</v>
      </c>
      <c r="S25" s="34">
        <f t="shared" si="16"/>
        <v>0</v>
      </c>
      <c r="T25" s="34">
        <f t="shared" si="17"/>
        <v>15861</v>
      </c>
      <c r="U25" s="34">
        <f t="shared" si="18"/>
        <v>67184</v>
      </c>
      <c r="V25" s="35">
        <f t="shared" si="19"/>
        <v>3188</v>
      </c>
      <c r="W25" s="35">
        <f t="shared" si="20"/>
        <v>214182592</v>
      </c>
      <c r="X25" s="38">
        <f>'Table 6 Local Wealth Factor'!L24</f>
        <v>1.52257422</v>
      </c>
      <c r="Y25" s="38">
        <f t="shared" si="21"/>
        <v>0.06925671</v>
      </c>
      <c r="Z25" s="38">
        <f t="shared" si="22"/>
        <v>0.10544848</v>
      </c>
      <c r="AA25" s="35">
        <f t="shared" si="46"/>
        <v>114138103</v>
      </c>
      <c r="AB25" s="39">
        <f t="shared" si="23"/>
        <v>0.5329</v>
      </c>
      <c r="AC25" s="524">
        <f t="shared" si="24"/>
        <v>100044489</v>
      </c>
      <c r="AD25" s="39">
        <f t="shared" si="25"/>
        <v>0.4671</v>
      </c>
      <c r="AE25" s="595">
        <f>'Table 7 Local Revenue'!AL24</f>
        <v>202087964</v>
      </c>
      <c r="AF25" s="35">
        <f t="shared" si="26"/>
        <v>87949861</v>
      </c>
      <c r="AG25" s="42">
        <f t="shared" si="27"/>
        <v>0</v>
      </c>
      <c r="AH25" s="35">
        <f t="shared" si="28"/>
        <v>70680255</v>
      </c>
      <c r="AI25" s="40">
        <f t="shared" si="29"/>
        <v>70680255</v>
      </c>
      <c r="AJ25" s="524">
        <f t="shared" si="30"/>
        <v>6110695</v>
      </c>
      <c r="AK25" s="39">
        <f t="shared" si="31"/>
        <v>0.08645547472911636</v>
      </c>
      <c r="AL25" s="35">
        <f t="shared" si="32"/>
        <v>0</v>
      </c>
      <c r="AM25" s="35">
        <f t="shared" si="33"/>
        <v>76790950</v>
      </c>
      <c r="AN25" s="35">
        <f t="shared" si="34"/>
        <v>106155184</v>
      </c>
      <c r="AO25" s="35">
        <f t="shared" si="0"/>
        <v>2068.37</v>
      </c>
      <c r="AP25" s="35">
        <f>'Table 4 Level 3'!AE22</f>
        <v>37743003</v>
      </c>
      <c r="AQ25" s="35">
        <f t="shared" si="35"/>
        <v>735.4</v>
      </c>
      <c r="AR25" s="524">
        <f t="shared" si="36"/>
        <v>143898187</v>
      </c>
      <c r="AS25" s="35">
        <f>AR25-'Table 2 Distribution &amp; Adjusts'!K22</f>
        <v>9093041.20939815</v>
      </c>
      <c r="AT25" s="524">
        <f t="shared" si="1"/>
        <v>2803.78</v>
      </c>
      <c r="AU25" s="34">
        <f t="shared" si="37"/>
        <v>58</v>
      </c>
      <c r="AV25" s="39">
        <f t="shared" si="2"/>
        <v>0.4378</v>
      </c>
      <c r="AW25" s="34">
        <f t="shared" si="38"/>
        <v>59</v>
      </c>
      <c r="AX25" s="35">
        <f t="shared" si="39"/>
        <v>184818358</v>
      </c>
      <c r="AY25" s="35">
        <f t="shared" si="3"/>
        <v>3601.08</v>
      </c>
      <c r="AZ25" s="34">
        <f t="shared" si="40"/>
        <v>8</v>
      </c>
      <c r="BA25" s="39">
        <f t="shared" si="41"/>
        <v>0.5622</v>
      </c>
      <c r="BB25" s="35">
        <f t="shared" si="4"/>
        <v>328716545</v>
      </c>
      <c r="BC25" s="35">
        <f t="shared" si="5"/>
        <v>6404.86</v>
      </c>
      <c r="BD25" s="34">
        <f t="shared" si="42"/>
        <v>12</v>
      </c>
      <c r="BE25" s="801">
        <v>34333.7895605107</v>
      </c>
      <c r="BF25" s="383">
        <f t="shared" si="43"/>
        <v>36393.7895605107</v>
      </c>
      <c r="BG25" s="519">
        <f t="shared" si="44"/>
        <v>13</v>
      </c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1:156" s="6" customFormat="1" ht="12.75">
      <c r="A26" s="666">
        <v>18</v>
      </c>
      <c r="B26" s="495" t="s">
        <v>23</v>
      </c>
      <c r="C26" s="495">
        <f>+'Table 8 Membership'!U26</f>
        <v>1724</v>
      </c>
      <c r="D26" s="495">
        <v>1604</v>
      </c>
      <c r="E26" s="469">
        <f t="shared" si="6"/>
        <v>870324</v>
      </c>
      <c r="F26" s="667">
        <f t="shared" si="45"/>
        <v>273</v>
      </c>
      <c r="G26" s="495">
        <f>+'[5]Sheet1'!C20</f>
        <v>385</v>
      </c>
      <c r="H26" s="469">
        <f t="shared" si="7"/>
        <v>60572</v>
      </c>
      <c r="I26" s="495">
        <f t="shared" si="8"/>
        <v>19</v>
      </c>
      <c r="J26" s="495">
        <f>+'[8]A'!C25</f>
        <v>216</v>
      </c>
      <c r="K26" s="469">
        <f t="shared" si="9"/>
        <v>1032912</v>
      </c>
      <c r="L26" s="495">
        <f t="shared" si="10"/>
        <v>324</v>
      </c>
      <c r="M26" s="495">
        <f>+'[8]A'!D25</f>
        <v>2</v>
      </c>
      <c r="N26" s="35">
        <f t="shared" si="11"/>
        <v>3188</v>
      </c>
      <c r="O26" s="34">
        <f t="shared" si="12"/>
        <v>1</v>
      </c>
      <c r="P26" s="34">
        <f t="shared" si="13"/>
        <v>5776</v>
      </c>
      <c r="Q26" s="366">
        <f t="shared" si="14"/>
        <v>0.15403</v>
      </c>
      <c r="R26" s="35">
        <f t="shared" si="15"/>
        <v>848008</v>
      </c>
      <c r="S26" s="34">
        <f t="shared" si="16"/>
        <v>266</v>
      </c>
      <c r="T26" s="34">
        <f t="shared" si="17"/>
        <v>883</v>
      </c>
      <c r="U26" s="34">
        <f t="shared" si="18"/>
        <v>2607</v>
      </c>
      <c r="V26" s="35">
        <f t="shared" si="19"/>
        <v>3188</v>
      </c>
      <c r="W26" s="35">
        <f t="shared" si="20"/>
        <v>8311116</v>
      </c>
      <c r="X26" s="38">
        <f>'Table 6 Local Wealth Factor'!L25</f>
        <v>0.43229912</v>
      </c>
      <c r="Y26" s="38">
        <f t="shared" si="21"/>
        <v>0.00268743</v>
      </c>
      <c r="Z26" s="38">
        <f t="shared" si="22"/>
        <v>0.00116177</v>
      </c>
      <c r="AA26" s="35">
        <f t="shared" si="46"/>
        <v>1257507</v>
      </c>
      <c r="AB26" s="39">
        <f t="shared" si="23"/>
        <v>0.1513</v>
      </c>
      <c r="AC26" s="524">
        <f t="shared" si="24"/>
        <v>7053609</v>
      </c>
      <c r="AD26" s="39">
        <f t="shared" si="25"/>
        <v>0.8487</v>
      </c>
      <c r="AE26" s="595">
        <f>'Table 7 Local Revenue'!AL25</f>
        <v>1836929.5</v>
      </c>
      <c r="AF26" s="35">
        <f t="shared" si="26"/>
        <v>579422.5</v>
      </c>
      <c r="AG26" s="42">
        <f t="shared" si="27"/>
        <v>0</v>
      </c>
      <c r="AH26" s="35">
        <f t="shared" si="28"/>
        <v>2742668</v>
      </c>
      <c r="AI26" s="40">
        <f t="shared" si="29"/>
        <v>579422.5</v>
      </c>
      <c r="AJ26" s="524">
        <f t="shared" si="30"/>
        <v>429132</v>
      </c>
      <c r="AK26" s="39">
        <f t="shared" si="31"/>
        <v>0.7406201864787785</v>
      </c>
      <c r="AL26" s="35">
        <f t="shared" si="32"/>
        <v>1602144</v>
      </c>
      <c r="AM26" s="35">
        <f t="shared" si="33"/>
        <v>1008554.5</v>
      </c>
      <c r="AN26" s="35">
        <f t="shared" si="34"/>
        <v>7482741</v>
      </c>
      <c r="AO26" s="35">
        <f t="shared" si="0"/>
        <v>4340.34</v>
      </c>
      <c r="AP26" s="35">
        <f>'Table 4 Level 3'!AE23</f>
        <v>134931</v>
      </c>
      <c r="AQ26" s="35">
        <f t="shared" si="35"/>
        <v>78.27</v>
      </c>
      <c r="AR26" s="524">
        <f t="shared" si="36"/>
        <v>7617672</v>
      </c>
      <c r="AS26" s="35">
        <f>AR26-'Table 2 Distribution &amp; Adjusts'!K23</f>
        <v>303179.02821792103</v>
      </c>
      <c r="AT26" s="524">
        <f t="shared" si="1"/>
        <v>4418.6</v>
      </c>
      <c r="AU26" s="34">
        <f t="shared" si="37"/>
        <v>5</v>
      </c>
      <c r="AV26" s="39">
        <f t="shared" si="2"/>
        <v>0.8057</v>
      </c>
      <c r="AW26" s="34">
        <f t="shared" si="38"/>
        <v>6</v>
      </c>
      <c r="AX26" s="35">
        <f t="shared" si="39"/>
        <v>1836929.5</v>
      </c>
      <c r="AY26" s="35">
        <f t="shared" si="3"/>
        <v>1065.5</v>
      </c>
      <c r="AZ26" s="34">
        <f t="shared" si="40"/>
        <v>59</v>
      </c>
      <c r="BA26" s="39">
        <f t="shared" si="41"/>
        <v>0.1943</v>
      </c>
      <c r="BB26" s="35">
        <f t="shared" si="4"/>
        <v>9454601.5</v>
      </c>
      <c r="BC26" s="35">
        <f t="shared" si="5"/>
        <v>5484.11</v>
      </c>
      <c r="BD26" s="34">
        <f t="shared" si="42"/>
        <v>43</v>
      </c>
      <c r="BE26" s="801">
        <v>29693.3654444455</v>
      </c>
      <c r="BF26" s="383">
        <f t="shared" si="43"/>
        <v>31753.3654444455</v>
      </c>
      <c r="BG26" s="519">
        <f t="shared" si="44"/>
        <v>55</v>
      </c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</row>
    <row r="27" spans="1:156" s="6" customFormat="1" ht="12.75">
      <c r="A27" s="666">
        <v>19</v>
      </c>
      <c r="B27" s="495" t="s">
        <v>24</v>
      </c>
      <c r="C27" s="495">
        <f>+'Table 8 Membership'!U27</f>
        <v>2474</v>
      </c>
      <c r="D27" s="495">
        <v>1945</v>
      </c>
      <c r="E27" s="469">
        <f t="shared" si="6"/>
        <v>1055228</v>
      </c>
      <c r="F27" s="667">
        <f t="shared" si="45"/>
        <v>331</v>
      </c>
      <c r="G27" s="495">
        <f>+'[5]Sheet1'!C21</f>
        <v>580</v>
      </c>
      <c r="H27" s="469">
        <f t="shared" si="7"/>
        <v>92452</v>
      </c>
      <c r="I27" s="495">
        <f t="shared" si="8"/>
        <v>29</v>
      </c>
      <c r="J27" s="495">
        <f>+'[8]A'!C26</f>
        <v>350</v>
      </c>
      <c r="K27" s="469">
        <f t="shared" si="9"/>
        <v>1673700</v>
      </c>
      <c r="L27" s="495">
        <f t="shared" si="10"/>
        <v>525</v>
      </c>
      <c r="M27" s="495">
        <f>+'[8]A'!D26</f>
        <v>8</v>
      </c>
      <c r="N27" s="35">
        <f t="shared" si="11"/>
        <v>15940</v>
      </c>
      <c r="O27" s="34">
        <f t="shared" si="12"/>
        <v>5</v>
      </c>
      <c r="P27" s="34">
        <f t="shared" si="13"/>
        <v>5026</v>
      </c>
      <c r="Q27" s="366">
        <f t="shared" si="14"/>
        <v>0.13403</v>
      </c>
      <c r="R27" s="35">
        <f t="shared" si="15"/>
        <v>1058416</v>
      </c>
      <c r="S27" s="34">
        <f t="shared" si="16"/>
        <v>332</v>
      </c>
      <c r="T27" s="34">
        <f t="shared" si="17"/>
        <v>1222</v>
      </c>
      <c r="U27" s="34">
        <f t="shared" si="18"/>
        <v>3696</v>
      </c>
      <c r="V27" s="35">
        <f t="shared" si="19"/>
        <v>3188</v>
      </c>
      <c r="W27" s="35">
        <f t="shared" si="20"/>
        <v>11782848</v>
      </c>
      <c r="X27" s="38">
        <f>'Table 6 Local Wealth Factor'!L26</f>
        <v>0.64109362</v>
      </c>
      <c r="Y27" s="38">
        <f t="shared" si="21"/>
        <v>0.00381003</v>
      </c>
      <c r="Z27" s="38">
        <f t="shared" si="22"/>
        <v>0.00244259</v>
      </c>
      <c r="AA27" s="35">
        <f t="shared" si="46"/>
        <v>2643875</v>
      </c>
      <c r="AB27" s="39">
        <f t="shared" si="23"/>
        <v>0.2244</v>
      </c>
      <c r="AC27" s="524">
        <f t="shared" si="24"/>
        <v>9138973</v>
      </c>
      <c r="AD27" s="39">
        <f t="shared" si="25"/>
        <v>0.7756</v>
      </c>
      <c r="AE27" s="595">
        <f>'Table 7 Local Revenue'!AL26</f>
        <v>4096246.5</v>
      </c>
      <c r="AF27" s="35">
        <f t="shared" si="26"/>
        <v>1452371.5</v>
      </c>
      <c r="AG27" s="42">
        <f t="shared" si="27"/>
        <v>0</v>
      </c>
      <c r="AH27" s="35">
        <f t="shared" si="28"/>
        <v>3888340</v>
      </c>
      <c r="AI27" s="40">
        <f t="shared" si="29"/>
        <v>1452371.5</v>
      </c>
      <c r="AJ27" s="524">
        <f t="shared" si="30"/>
        <v>893708</v>
      </c>
      <c r="AK27" s="39">
        <f t="shared" si="31"/>
        <v>0.6153439392056371</v>
      </c>
      <c r="AL27" s="35">
        <f t="shared" si="32"/>
        <v>1498958</v>
      </c>
      <c r="AM27" s="35">
        <f t="shared" si="33"/>
        <v>2346079.5</v>
      </c>
      <c r="AN27" s="35">
        <f t="shared" si="34"/>
        <v>10032681</v>
      </c>
      <c r="AO27" s="35">
        <f t="shared" si="0"/>
        <v>4055.25</v>
      </c>
      <c r="AP27" s="35">
        <f>'Table 4 Level 3'!AE24</f>
        <v>436177</v>
      </c>
      <c r="AQ27" s="35">
        <f t="shared" si="35"/>
        <v>176.3</v>
      </c>
      <c r="AR27" s="524">
        <f t="shared" si="36"/>
        <v>10468858</v>
      </c>
      <c r="AS27" s="35">
        <f>AR27-'Table 2 Distribution &amp; Adjusts'!K24</f>
        <v>436711.32815093175</v>
      </c>
      <c r="AT27" s="524">
        <f t="shared" si="1"/>
        <v>4231.55</v>
      </c>
      <c r="AU27" s="34">
        <f t="shared" si="37"/>
        <v>10</v>
      </c>
      <c r="AV27" s="39">
        <f t="shared" si="2"/>
        <v>0.7188</v>
      </c>
      <c r="AW27" s="34">
        <f t="shared" si="38"/>
        <v>26</v>
      </c>
      <c r="AX27" s="35">
        <f t="shared" si="39"/>
        <v>4096246.5</v>
      </c>
      <c r="AY27" s="35">
        <f t="shared" si="3"/>
        <v>1655.72</v>
      </c>
      <c r="AZ27" s="34">
        <f t="shared" si="40"/>
        <v>41</v>
      </c>
      <c r="BA27" s="39">
        <f t="shared" si="41"/>
        <v>0.2812</v>
      </c>
      <c r="BB27" s="35">
        <f t="shared" si="4"/>
        <v>14565104.5</v>
      </c>
      <c r="BC27" s="35">
        <f t="shared" si="5"/>
        <v>5887.27</v>
      </c>
      <c r="BD27" s="34">
        <f t="shared" si="42"/>
        <v>24</v>
      </c>
      <c r="BE27" s="801">
        <v>31971.1891263763</v>
      </c>
      <c r="BF27" s="383">
        <f t="shared" si="43"/>
        <v>34031.189126376295</v>
      </c>
      <c r="BG27" s="519">
        <f t="shared" si="44"/>
        <v>38</v>
      </c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</row>
    <row r="28" spans="1:156" s="54" customFormat="1" ht="12.75">
      <c r="A28" s="668">
        <v>20</v>
      </c>
      <c r="B28" s="498" t="s">
        <v>25</v>
      </c>
      <c r="C28" s="498">
        <f>+'Table 8 Membership'!U28</f>
        <v>6232</v>
      </c>
      <c r="D28" s="498">
        <v>4633</v>
      </c>
      <c r="E28" s="472">
        <f t="shared" si="6"/>
        <v>2512144</v>
      </c>
      <c r="F28" s="669">
        <f t="shared" si="45"/>
        <v>788</v>
      </c>
      <c r="G28" s="498">
        <f>+'[5]Sheet1'!C22</f>
        <v>1880</v>
      </c>
      <c r="H28" s="472">
        <f t="shared" si="7"/>
        <v>299672</v>
      </c>
      <c r="I28" s="498">
        <f t="shared" si="8"/>
        <v>94</v>
      </c>
      <c r="J28" s="495">
        <f>+'[8]A'!C27</f>
        <v>1071</v>
      </c>
      <c r="K28" s="472">
        <f t="shared" si="9"/>
        <v>5123116</v>
      </c>
      <c r="L28" s="498">
        <f t="shared" si="10"/>
        <v>1607</v>
      </c>
      <c r="M28" s="495">
        <f>+'[8]A'!D27</f>
        <v>42</v>
      </c>
      <c r="N28" s="49">
        <f t="shared" si="11"/>
        <v>79700</v>
      </c>
      <c r="O28" s="48">
        <f t="shared" si="12"/>
        <v>25</v>
      </c>
      <c r="P28" s="48">
        <f t="shared" si="13"/>
        <v>1268</v>
      </c>
      <c r="Q28" s="367">
        <f t="shared" si="14"/>
        <v>0.03381</v>
      </c>
      <c r="R28" s="49">
        <f t="shared" si="15"/>
        <v>672668</v>
      </c>
      <c r="S28" s="48">
        <f t="shared" si="16"/>
        <v>211</v>
      </c>
      <c r="T28" s="48">
        <f t="shared" si="17"/>
        <v>2725</v>
      </c>
      <c r="U28" s="34">
        <f t="shared" si="18"/>
        <v>8957</v>
      </c>
      <c r="V28" s="49">
        <f t="shared" si="19"/>
        <v>3188</v>
      </c>
      <c r="W28" s="49">
        <f t="shared" si="20"/>
        <v>28554916</v>
      </c>
      <c r="X28" s="51">
        <f>'Table 6 Local Wealth Factor'!L27</f>
        <v>0.53753477</v>
      </c>
      <c r="Y28" s="51">
        <f t="shared" si="21"/>
        <v>0.00923334</v>
      </c>
      <c r="Z28" s="51">
        <f t="shared" si="22"/>
        <v>0.00496324</v>
      </c>
      <c r="AA28" s="49">
        <f t="shared" si="46"/>
        <v>5372242</v>
      </c>
      <c r="AB28" s="52">
        <f t="shared" si="23"/>
        <v>0.1881</v>
      </c>
      <c r="AC28" s="525">
        <f t="shared" si="24"/>
        <v>23182674</v>
      </c>
      <c r="AD28" s="52">
        <f t="shared" si="25"/>
        <v>0.8119</v>
      </c>
      <c r="AE28" s="596">
        <f>'Table 7 Local Revenue'!AL27</f>
        <v>5810600.5</v>
      </c>
      <c r="AF28" s="49">
        <f t="shared" si="26"/>
        <v>438358.5</v>
      </c>
      <c r="AG28" s="61">
        <f t="shared" si="27"/>
        <v>0</v>
      </c>
      <c r="AH28" s="49">
        <f t="shared" si="28"/>
        <v>9423122</v>
      </c>
      <c r="AI28" s="53">
        <f t="shared" si="29"/>
        <v>438358.5</v>
      </c>
      <c r="AJ28" s="525">
        <f t="shared" si="30"/>
        <v>296979</v>
      </c>
      <c r="AK28" s="52">
        <f t="shared" si="31"/>
        <v>0.677479734053292</v>
      </c>
      <c r="AL28" s="49">
        <f t="shared" si="32"/>
        <v>6086990</v>
      </c>
      <c r="AM28" s="49">
        <f t="shared" si="33"/>
        <v>735337.5</v>
      </c>
      <c r="AN28" s="49">
        <f t="shared" si="34"/>
        <v>23479653</v>
      </c>
      <c r="AO28" s="49">
        <f t="shared" si="0"/>
        <v>3767.6</v>
      </c>
      <c r="AP28" s="49">
        <f>'Table 4 Level 3'!AE25</f>
        <v>-1016780</v>
      </c>
      <c r="AQ28" s="49">
        <f t="shared" si="35"/>
        <v>-163.15</v>
      </c>
      <c r="AR28" s="525">
        <f t="shared" si="36"/>
        <v>22462873</v>
      </c>
      <c r="AS28" s="49">
        <f>AR28-'Table 2 Distribution &amp; Adjusts'!K25</f>
        <v>1052826.9648378715</v>
      </c>
      <c r="AT28" s="525">
        <f t="shared" si="1"/>
        <v>3604.44</v>
      </c>
      <c r="AU28" s="48">
        <f t="shared" si="37"/>
        <v>40</v>
      </c>
      <c r="AV28" s="52">
        <f t="shared" si="2"/>
        <v>0.7945</v>
      </c>
      <c r="AW28" s="48">
        <f t="shared" si="38"/>
        <v>9</v>
      </c>
      <c r="AX28" s="49">
        <f t="shared" si="39"/>
        <v>5810600.5</v>
      </c>
      <c r="AY28" s="49">
        <f t="shared" si="3"/>
        <v>932.38</v>
      </c>
      <c r="AZ28" s="48">
        <f t="shared" si="40"/>
        <v>62</v>
      </c>
      <c r="BA28" s="52">
        <f t="shared" si="41"/>
        <v>0.2055</v>
      </c>
      <c r="BB28" s="49">
        <f t="shared" si="4"/>
        <v>28273473.5</v>
      </c>
      <c r="BC28" s="49">
        <f t="shared" si="5"/>
        <v>4536.82</v>
      </c>
      <c r="BD28" s="48">
        <f t="shared" si="42"/>
        <v>65</v>
      </c>
      <c r="BE28" s="802">
        <v>29026.3084505269</v>
      </c>
      <c r="BF28" s="384">
        <f t="shared" si="43"/>
        <v>31086.3084505269</v>
      </c>
      <c r="BG28" s="520">
        <f t="shared" si="44"/>
        <v>59</v>
      </c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</row>
    <row r="29" spans="1:156" s="6" customFormat="1" ht="12.75">
      <c r="A29" s="666">
        <v>21</v>
      </c>
      <c r="B29" s="495" t="s">
        <v>26</v>
      </c>
      <c r="C29" s="495">
        <f>+'Table 8 Membership'!U29</f>
        <v>3719</v>
      </c>
      <c r="D29" s="495">
        <v>2601</v>
      </c>
      <c r="E29" s="469">
        <f t="shared" si="6"/>
        <v>1409096</v>
      </c>
      <c r="F29" s="667">
        <f t="shared" si="45"/>
        <v>442</v>
      </c>
      <c r="G29" s="495">
        <f>+'[5]Sheet1'!C23</f>
        <v>1049</v>
      </c>
      <c r="H29" s="469">
        <f t="shared" si="7"/>
        <v>165776</v>
      </c>
      <c r="I29" s="495">
        <f t="shared" si="8"/>
        <v>52</v>
      </c>
      <c r="J29" s="495">
        <f>+'[8]A'!C28</f>
        <v>451</v>
      </c>
      <c r="K29" s="469">
        <f t="shared" si="9"/>
        <v>2158276</v>
      </c>
      <c r="L29" s="495">
        <f t="shared" si="10"/>
        <v>677</v>
      </c>
      <c r="M29" s="495">
        <f>+'[8]A'!D28</f>
        <v>101</v>
      </c>
      <c r="N29" s="35">
        <f t="shared" si="11"/>
        <v>194468</v>
      </c>
      <c r="O29" s="34">
        <f t="shared" si="12"/>
        <v>61</v>
      </c>
      <c r="P29" s="34">
        <f t="shared" si="13"/>
        <v>3781</v>
      </c>
      <c r="Q29" s="366">
        <f t="shared" si="14"/>
        <v>0.10083</v>
      </c>
      <c r="R29" s="35">
        <f t="shared" si="15"/>
        <v>1195500</v>
      </c>
      <c r="S29" s="34">
        <f t="shared" si="16"/>
        <v>375</v>
      </c>
      <c r="T29" s="34">
        <f t="shared" si="17"/>
        <v>1607</v>
      </c>
      <c r="U29" s="126">
        <f t="shared" si="18"/>
        <v>5326</v>
      </c>
      <c r="V29" s="35">
        <f t="shared" si="19"/>
        <v>3188</v>
      </c>
      <c r="W29" s="35">
        <f t="shared" si="20"/>
        <v>16979288</v>
      </c>
      <c r="X29" s="38">
        <f>'Table 6 Local Wealth Factor'!L28</f>
        <v>0.5107495</v>
      </c>
      <c r="Y29" s="38">
        <f t="shared" si="21"/>
        <v>0.00549031</v>
      </c>
      <c r="Z29" s="38">
        <f t="shared" si="22"/>
        <v>0.00280417</v>
      </c>
      <c r="AA29" s="35">
        <f t="shared" si="46"/>
        <v>3035251</v>
      </c>
      <c r="AB29" s="39">
        <f t="shared" si="23"/>
        <v>0.1788</v>
      </c>
      <c r="AC29" s="524">
        <f t="shared" si="24"/>
        <v>13944037</v>
      </c>
      <c r="AD29" s="39">
        <f t="shared" si="25"/>
        <v>0.8212</v>
      </c>
      <c r="AE29" s="595">
        <f>'Table 7 Local Revenue'!AL28</f>
        <v>3327979</v>
      </c>
      <c r="AF29" s="35">
        <f t="shared" si="26"/>
        <v>292728</v>
      </c>
      <c r="AG29" s="42">
        <f t="shared" si="27"/>
        <v>0</v>
      </c>
      <c r="AH29" s="35">
        <f t="shared" si="28"/>
        <v>5603165</v>
      </c>
      <c r="AI29" s="40">
        <f t="shared" si="29"/>
        <v>292728</v>
      </c>
      <c r="AJ29" s="524">
        <f t="shared" si="30"/>
        <v>203022</v>
      </c>
      <c r="AK29" s="39">
        <f t="shared" si="31"/>
        <v>0.693551693039272</v>
      </c>
      <c r="AL29" s="35">
        <f t="shared" si="32"/>
        <v>3683055</v>
      </c>
      <c r="AM29" s="35">
        <f t="shared" si="33"/>
        <v>495750</v>
      </c>
      <c r="AN29" s="35">
        <f t="shared" si="34"/>
        <v>14147059</v>
      </c>
      <c r="AO29" s="35">
        <f t="shared" si="0"/>
        <v>3804</v>
      </c>
      <c r="AP29" s="35">
        <f>'Table 4 Level 3'!AE26</f>
        <v>315749</v>
      </c>
      <c r="AQ29" s="35">
        <f t="shared" si="35"/>
        <v>84.9</v>
      </c>
      <c r="AR29" s="524">
        <f t="shared" si="36"/>
        <v>14462808</v>
      </c>
      <c r="AS29" s="35">
        <f>AR29-'Table 2 Distribution &amp; Adjusts'!K26</f>
        <v>693278.4568642862</v>
      </c>
      <c r="AT29" s="524">
        <f t="shared" si="1"/>
        <v>3888.9</v>
      </c>
      <c r="AU29" s="34">
        <f t="shared" si="37"/>
        <v>23</v>
      </c>
      <c r="AV29" s="39">
        <f t="shared" si="2"/>
        <v>0.8129</v>
      </c>
      <c r="AW29" s="34">
        <f t="shared" si="38"/>
        <v>4</v>
      </c>
      <c r="AX29" s="35">
        <f t="shared" si="39"/>
        <v>3327979</v>
      </c>
      <c r="AY29" s="35">
        <f t="shared" si="3"/>
        <v>894.86</v>
      </c>
      <c r="AZ29" s="34">
        <f t="shared" si="40"/>
        <v>63</v>
      </c>
      <c r="BA29" s="39">
        <f t="shared" si="41"/>
        <v>0.1871</v>
      </c>
      <c r="BB29" s="35">
        <f t="shared" si="4"/>
        <v>17790787</v>
      </c>
      <c r="BC29" s="35">
        <f t="shared" si="5"/>
        <v>4783.76</v>
      </c>
      <c r="BD29" s="34">
        <f t="shared" si="42"/>
        <v>61</v>
      </c>
      <c r="BE29" s="801">
        <v>29546.9323447118</v>
      </c>
      <c r="BF29" s="383">
        <f t="shared" si="43"/>
        <v>31606.9323447118</v>
      </c>
      <c r="BG29" s="519">
        <f t="shared" si="44"/>
        <v>56</v>
      </c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</row>
    <row r="30" spans="1:156" s="6" customFormat="1" ht="12.75">
      <c r="A30" s="666">
        <v>22</v>
      </c>
      <c r="B30" s="495" t="s">
        <v>27</v>
      </c>
      <c r="C30" s="495">
        <f>+'Table 8 Membership'!U30</f>
        <v>3597</v>
      </c>
      <c r="D30" s="495">
        <v>2139</v>
      </c>
      <c r="E30" s="469">
        <f t="shared" si="6"/>
        <v>1160432</v>
      </c>
      <c r="F30" s="667">
        <f t="shared" si="45"/>
        <v>364</v>
      </c>
      <c r="G30" s="495">
        <f>+'[5]Sheet1'!C24</f>
        <v>1270</v>
      </c>
      <c r="H30" s="469">
        <f t="shared" si="7"/>
        <v>204032</v>
      </c>
      <c r="I30" s="495">
        <f t="shared" si="8"/>
        <v>64</v>
      </c>
      <c r="J30" s="495">
        <f>+'[8]A'!C29</f>
        <v>521</v>
      </c>
      <c r="K30" s="469">
        <f t="shared" si="9"/>
        <v>2493016</v>
      </c>
      <c r="L30" s="495">
        <f t="shared" si="10"/>
        <v>782</v>
      </c>
      <c r="M30" s="495">
        <f>+'[8]A'!D29</f>
        <v>53</v>
      </c>
      <c r="N30" s="35">
        <f t="shared" si="11"/>
        <v>102016</v>
      </c>
      <c r="O30" s="34">
        <f t="shared" si="12"/>
        <v>32</v>
      </c>
      <c r="P30" s="34">
        <f t="shared" si="13"/>
        <v>3903</v>
      </c>
      <c r="Q30" s="366">
        <f t="shared" si="14"/>
        <v>0.10408</v>
      </c>
      <c r="R30" s="35">
        <f t="shared" si="15"/>
        <v>1192312</v>
      </c>
      <c r="S30" s="34">
        <f t="shared" si="16"/>
        <v>374</v>
      </c>
      <c r="T30" s="34">
        <f t="shared" si="17"/>
        <v>1616</v>
      </c>
      <c r="U30" s="34">
        <f t="shared" si="18"/>
        <v>5213</v>
      </c>
      <c r="V30" s="35">
        <f t="shared" si="19"/>
        <v>3188</v>
      </c>
      <c r="W30" s="35">
        <f t="shared" si="20"/>
        <v>16619044</v>
      </c>
      <c r="X30" s="38">
        <f>'Table 6 Local Wealth Factor'!L29</f>
        <v>0.29924925</v>
      </c>
      <c r="Y30" s="38">
        <f t="shared" si="21"/>
        <v>0.00537383</v>
      </c>
      <c r="Z30" s="38">
        <f t="shared" si="22"/>
        <v>0.00160811</v>
      </c>
      <c r="AA30" s="35">
        <f t="shared" si="46"/>
        <v>1740628</v>
      </c>
      <c r="AB30" s="39">
        <f t="shared" si="23"/>
        <v>0.1047</v>
      </c>
      <c r="AC30" s="524">
        <f t="shared" si="24"/>
        <v>14878416</v>
      </c>
      <c r="AD30" s="39">
        <f t="shared" si="25"/>
        <v>0.8953</v>
      </c>
      <c r="AE30" s="595">
        <f>'Table 7 Local Revenue'!AL29</f>
        <v>2626539.5</v>
      </c>
      <c r="AF30" s="35">
        <f t="shared" si="26"/>
        <v>885911.5</v>
      </c>
      <c r="AG30" s="42">
        <f t="shared" si="27"/>
        <v>0</v>
      </c>
      <c r="AH30" s="35">
        <f t="shared" si="28"/>
        <v>5484285</v>
      </c>
      <c r="AI30" s="40">
        <f t="shared" si="29"/>
        <v>885911.5</v>
      </c>
      <c r="AJ30" s="524">
        <f t="shared" si="30"/>
        <v>726846</v>
      </c>
      <c r="AK30" s="39">
        <f t="shared" si="31"/>
        <v>0.8204498982121803</v>
      </c>
      <c r="AL30" s="35">
        <f t="shared" si="32"/>
        <v>3772738</v>
      </c>
      <c r="AM30" s="35">
        <f t="shared" si="33"/>
        <v>1612757.5</v>
      </c>
      <c r="AN30" s="35">
        <f t="shared" si="34"/>
        <v>15605262</v>
      </c>
      <c r="AO30" s="35">
        <f t="shared" si="0"/>
        <v>4338.41</v>
      </c>
      <c r="AP30" s="35">
        <f>'Table 4 Level 3'!AE27</f>
        <v>-324644</v>
      </c>
      <c r="AQ30" s="35">
        <f t="shared" si="35"/>
        <v>-90.25</v>
      </c>
      <c r="AR30" s="524">
        <f t="shared" si="36"/>
        <v>15280618</v>
      </c>
      <c r="AS30" s="35">
        <f>AR30-'Table 2 Distribution &amp; Adjusts'!K27</f>
        <v>700870.2168392036</v>
      </c>
      <c r="AT30" s="524">
        <f t="shared" si="1"/>
        <v>4248.16</v>
      </c>
      <c r="AU30" s="34">
        <f t="shared" si="37"/>
        <v>8</v>
      </c>
      <c r="AV30" s="39">
        <f t="shared" si="2"/>
        <v>0.8533</v>
      </c>
      <c r="AW30" s="34">
        <f t="shared" si="38"/>
        <v>1</v>
      </c>
      <c r="AX30" s="35">
        <f t="shared" si="39"/>
        <v>2626539.5</v>
      </c>
      <c r="AY30" s="35">
        <f t="shared" si="3"/>
        <v>730.2</v>
      </c>
      <c r="AZ30" s="34">
        <f t="shared" si="40"/>
        <v>66</v>
      </c>
      <c r="BA30" s="39">
        <f t="shared" si="41"/>
        <v>0.1467</v>
      </c>
      <c r="BB30" s="35">
        <f t="shared" si="4"/>
        <v>17907157.5</v>
      </c>
      <c r="BC30" s="35">
        <f t="shared" si="5"/>
        <v>4978.36</v>
      </c>
      <c r="BD30" s="34">
        <f t="shared" si="42"/>
        <v>59</v>
      </c>
      <c r="BE30" s="801">
        <v>28581.4771579575</v>
      </c>
      <c r="BF30" s="383">
        <f t="shared" si="43"/>
        <v>30641.4771579575</v>
      </c>
      <c r="BG30" s="519">
        <f t="shared" si="44"/>
        <v>61</v>
      </c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</row>
    <row r="31" spans="1:156" s="6" customFormat="1" ht="12.75">
      <c r="A31" s="666">
        <v>23</v>
      </c>
      <c r="B31" s="495" t="s">
        <v>28</v>
      </c>
      <c r="C31" s="495">
        <f>+'Table 8 Membership'!U31</f>
        <v>14348</v>
      </c>
      <c r="D31" s="495">
        <v>8338</v>
      </c>
      <c r="E31" s="469">
        <f t="shared" si="6"/>
        <v>4517396</v>
      </c>
      <c r="F31" s="667">
        <f t="shared" si="45"/>
        <v>1417</v>
      </c>
      <c r="G31" s="495">
        <f>+'[5]Sheet1'!C25</f>
        <v>4513</v>
      </c>
      <c r="H31" s="469">
        <f t="shared" si="7"/>
        <v>720488</v>
      </c>
      <c r="I31" s="495">
        <f t="shared" si="8"/>
        <v>226</v>
      </c>
      <c r="J31" s="495">
        <f>+'[8]A'!C30</f>
        <v>2465</v>
      </c>
      <c r="K31" s="469">
        <f t="shared" si="9"/>
        <v>11789224</v>
      </c>
      <c r="L31" s="495">
        <f t="shared" si="10"/>
        <v>3698</v>
      </c>
      <c r="M31" s="495">
        <f>+'[8]A'!D30</f>
        <v>549</v>
      </c>
      <c r="N31" s="35">
        <f t="shared" si="11"/>
        <v>1048852</v>
      </c>
      <c r="O31" s="34">
        <f t="shared" si="12"/>
        <v>329</v>
      </c>
      <c r="P31" s="34">
        <f t="shared" si="13"/>
        <v>0</v>
      </c>
      <c r="Q31" s="366">
        <f t="shared" si="14"/>
        <v>0</v>
      </c>
      <c r="R31" s="35">
        <f t="shared" si="15"/>
        <v>0</v>
      </c>
      <c r="S31" s="34">
        <f t="shared" si="16"/>
        <v>0</v>
      </c>
      <c r="T31" s="34">
        <f t="shared" si="17"/>
        <v>5670</v>
      </c>
      <c r="U31" s="34">
        <f t="shared" si="18"/>
        <v>20018</v>
      </c>
      <c r="V31" s="35">
        <f t="shared" si="19"/>
        <v>3188</v>
      </c>
      <c r="W31" s="35">
        <f t="shared" si="20"/>
        <v>63817384</v>
      </c>
      <c r="X31" s="38">
        <f>'Table 6 Local Wealth Factor'!L30</f>
        <v>0.73614325</v>
      </c>
      <c r="Y31" s="38">
        <f t="shared" si="21"/>
        <v>0.02063558</v>
      </c>
      <c r="Z31" s="38">
        <f t="shared" si="22"/>
        <v>0.01519074</v>
      </c>
      <c r="AA31" s="35">
        <f t="shared" si="46"/>
        <v>16442553</v>
      </c>
      <c r="AB31" s="39">
        <f t="shared" si="23"/>
        <v>0.2577</v>
      </c>
      <c r="AC31" s="524">
        <f t="shared" si="24"/>
        <v>47374831</v>
      </c>
      <c r="AD31" s="39">
        <f t="shared" si="25"/>
        <v>0.7423</v>
      </c>
      <c r="AE31" s="595">
        <f>'Table 7 Local Revenue'!AL30</f>
        <v>27871207</v>
      </c>
      <c r="AF31" s="35">
        <f t="shared" si="26"/>
        <v>11428654</v>
      </c>
      <c r="AG31" s="42">
        <f t="shared" si="27"/>
        <v>0</v>
      </c>
      <c r="AH31" s="35">
        <f t="shared" si="28"/>
        <v>21059737</v>
      </c>
      <c r="AI31" s="40">
        <f t="shared" si="29"/>
        <v>11428654</v>
      </c>
      <c r="AJ31" s="524">
        <f t="shared" si="30"/>
        <v>6380778</v>
      </c>
      <c r="AK31" s="39">
        <f t="shared" si="31"/>
        <v>0.5583140411810524</v>
      </c>
      <c r="AL31" s="35">
        <f t="shared" si="32"/>
        <v>5377169</v>
      </c>
      <c r="AM31" s="35">
        <f t="shared" si="33"/>
        <v>17809432</v>
      </c>
      <c r="AN31" s="35">
        <f t="shared" si="34"/>
        <v>53755609</v>
      </c>
      <c r="AO31" s="35">
        <f t="shared" si="0"/>
        <v>3746.56</v>
      </c>
      <c r="AP31" s="35">
        <f>'Table 4 Level 3'!AE28</f>
        <v>901801</v>
      </c>
      <c r="AQ31" s="35">
        <f t="shared" si="35"/>
        <v>62.85</v>
      </c>
      <c r="AR31" s="524">
        <f t="shared" si="36"/>
        <v>54657410</v>
      </c>
      <c r="AS31" s="35">
        <f>AR31-'Table 2 Distribution &amp; Adjusts'!K28</f>
        <v>2038670.9366103485</v>
      </c>
      <c r="AT31" s="524">
        <f t="shared" si="1"/>
        <v>3809.41</v>
      </c>
      <c r="AU31" s="34">
        <f t="shared" si="37"/>
        <v>29</v>
      </c>
      <c r="AV31" s="39">
        <f t="shared" si="2"/>
        <v>0.6623</v>
      </c>
      <c r="AW31" s="34">
        <f t="shared" si="38"/>
        <v>34</v>
      </c>
      <c r="AX31" s="35">
        <f t="shared" si="39"/>
        <v>27871207</v>
      </c>
      <c r="AY31" s="35">
        <f t="shared" si="3"/>
        <v>1942.52</v>
      </c>
      <c r="AZ31" s="34">
        <f t="shared" si="40"/>
        <v>33</v>
      </c>
      <c r="BA31" s="39">
        <f t="shared" si="41"/>
        <v>0.3377</v>
      </c>
      <c r="BB31" s="35">
        <f t="shared" si="4"/>
        <v>82528617</v>
      </c>
      <c r="BC31" s="35">
        <f t="shared" si="5"/>
        <v>5751.92</v>
      </c>
      <c r="BD31" s="34">
        <f t="shared" si="42"/>
        <v>33</v>
      </c>
      <c r="BE31" s="801">
        <v>34799.4782120328</v>
      </c>
      <c r="BF31" s="383">
        <f t="shared" si="43"/>
        <v>36859.4782120328</v>
      </c>
      <c r="BG31" s="519">
        <f t="shared" si="44"/>
        <v>11</v>
      </c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</row>
    <row r="32" spans="1:156" s="6" customFormat="1" ht="12.75">
      <c r="A32" s="666">
        <v>24</v>
      </c>
      <c r="B32" s="495" t="s">
        <v>29</v>
      </c>
      <c r="C32" s="495">
        <f>+'Table 8 Membership'!U32</f>
        <v>4773</v>
      </c>
      <c r="D32" s="495">
        <v>3823</v>
      </c>
      <c r="E32" s="469">
        <f t="shared" si="6"/>
        <v>2072200</v>
      </c>
      <c r="F32" s="667">
        <f t="shared" si="45"/>
        <v>650</v>
      </c>
      <c r="G32" s="495">
        <f>+'[5]Sheet1'!C26</f>
        <v>1705</v>
      </c>
      <c r="H32" s="469">
        <f t="shared" si="7"/>
        <v>270980</v>
      </c>
      <c r="I32" s="495">
        <f t="shared" si="8"/>
        <v>85</v>
      </c>
      <c r="J32" s="495">
        <f>+'[8]A'!C31</f>
        <v>687</v>
      </c>
      <c r="K32" s="469">
        <f t="shared" si="9"/>
        <v>3286828</v>
      </c>
      <c r="L32" s="495">
        <f t="shared" si="10"/>
        <v>1031</v>
      </c>
      <c r="M32" s="495">
        <f>+'[8]A'!D31</f>
        <v>75</v>
      </c>
      <c r="N32" s="35">
        <f t="shared" si="11"/>
        <v>143460</v>
      </c>
      <c r="O32" s="34">
        <f t="shared" si="12"/>
        <v>45</v>
      </c>
      <c r="P32" s="34">
        <f t="shared" si="13"/>
        <v>2727</v>
      </c>
      <c r="Q32" s="366">
        <f t="shared" si="14"/>
        <v>0.07272</v>
      </c>
      <c r="R32" s="35">
        <f t="shared" si="15"/>
        <v>1106236</v>
      </c>
      <c r="S32" s="34">
        <f t="shared" si="16"/>
        <v>347</v>
      </c>
      <c r="T32" s="34">
        <f t="shared" si="17"/>
        <v>2158</v>
      </c>
      <c r="U32" s="34">
        <f t="shared" si="18"/>
        <v>6931</v>
      </c>
      <c r="V32" s="35">
        <f t="shared" si="19"/>
        <v>3188</v>
      </c>
      <c r="W32" s="35">
        <f t="shared" si="20"/>
        <v>22096028</v>
      </c>
      <c r="X32" s="38">
        <f>'Table 6 Local Wealth Factor'!L31</f>
        <v>1.63986869</v>
      </c>
      <c r="Y32" s="38">
        <f t="shared" si="21"/>
        <v>0.00714483</v>
      </c>
      <c r="Z32" s="38">
        <f t="shared" si="22"/>
        <v>0.01171658</v>
      </c>
      <c r="AA32" s="35">
        <f t="shared" si="46"/>
        <v>12682100</v>
      </c>
      <c r="AB32" s="39">
        <f t="shared" si="23"/>
        <v>0.574</v>
      </c>
      <c r="AC32" s="524">
        <f t="shared" si="24"/>
        <v>9413928</v>
      </c>
      <c r="AD32" s="39">
        <f t="shared" si="25"/>
        <v>0.426</v>
      </c>
      <c r="AE32" s="595">
        <f>'Table 7 Local Revenue'!AL31</f>
        <v>19714241</v>
      </c>
      <c r="AF32" s="35">
        <f t="shared" si="26"/>
        <v>7032141</v>
      </c>
      <c r="AG32" s="42">
        <f t="shared" si="27"/>
        <v>0</v>
      </c>
      <c r="AH32" s="35">
        <f t="shared" si="28"/>
        <v>7291689</v>
      </c>
      <c r="AI32" s="40">
        <f t="shared" si="29"/>
        <v>7032141</v>
      </c>
      <c r="AJ32" s="524">
        <f t="shared" si="30"/>
        <v>113068</v>
      </c>
      <c r="AK32" s="39">
        <f t="shared" si="31"/>
        <v>0.016078744723690835</v>
      </c>
      <c r="AL32" s="35">
        <f t="shared" si="32"/>
        <v>4174</v>
      </c>
      <c r="AM32" s="35">
        <f t="shared" si="33"/>
        <v>7145209</v>
      </c>
      <c r="AN32" s="35">
        <f t="shared" si="34"/>
        <v>9526996</v>
      </c>
      <c r="AO32" s="35">
        <f t="shared" si="0"/>
        <v>1996.02</v>
      </c>
      <c r="AP32" s="35">
        <f>'Table 4 Level 3'!AE29</f>
        <v>3627522</v>
      </c>
      <c r="AQ32" s="35">
        <f t="shared" si="35"/>
        <v>760.01</v>
      </c>
      <c r="AR32" s="524">
        <f t="shared" si="36"/>
        <v>13154518</v>
      </c>
      <c r="AS32" s="35">
        <f>AR32-'Table 2 Distribution &amp; Adjusts'!K29</f>
        <v>705954.4720604811</v>
      </c>
      <c r="AT32" s="524">
        <f t="shared" si="1"/>
        <v>2756.03</v>
      </c>
      <c r="AU32" s="34">
        <f t="shared" si="37"/>
        <v>60</v>
      </c>
      <c r="AV32" s="39">
        <f t="shared" si="2"/>
        <v>0.4002</v>
      </c>
      <c r="AW32" s="34">
        <f t="shared" si="38"/>
        <v>63</v>
      </c>
      <c r="AX32" s="35">
        <f t="shared" si="39"/>
        <v>19714241</v>
      </c>
      <c r="AY32" s="35">
        <f t="shared" si="3"/>
        <v>4130.37</v>
      </c>
      <c r="AZ32" s="34">
        <f t="shared" si="40"/>
        <v>3</v>
      </c>
      <c r="BA32" s="39">
        <f t="shared" si="41"/>
        <v>0.5998</v>
      </c>
      <c r="BB32" s="35">
        <f t="shared" si="4"/>
        <v>32868759</v>
      </c>
      <c r="BC32" s="35">
        <f t="shared" si="5"/>
        <v>6886.39</v>
      </c>
      <c r="BD32" s="34">
        <f t="shared" si="42"/>
        <v>6</v>
      </c>
      <c r="BE32" s="801">
        <v>35997.8214643679</v>
      </c>
      <c r="BF32" s="383">
        <f t="shared" si="43"/>
        <v>38057.8214643679</v>
      </c>
      <c r="BG32" s="519">
        <f t="shared" si="44"/>
        <v>5</v>
      </c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</row>
    <row r="33" spans="1:156" s="54" customFormat="1" ht="12.75">
      <c r="A33" s="668">
        <v>25</v>
      </c>
      <c r="B33" s="498" t="s">
        <v>30</v>
      </c>
      <c r="C33" s="498">
        <f>+'Table 8 Membership'!U33</f>
        <v>2523</v>
      </c>
      <c r="D33" s="498">
        <v>1366</v>
      </c>
      <c r="E33" s="472">
        <f t="shared" si="6"/>
        <v>739616</v>
      </c>
      <c r="F33" s="669">
        <f t="shared" si="45"/>
        <v>232</v>
      </c>
      <c r="G33" s="498">
        <f>+'[5]Sheet1'!C27</f>
        <v>999</v>
      </c>
      <c r="H33" s="472">
        <f t="shared" si="7"/>
        <v>159400</v>
      </c>
      <c r="I33" s="498">
        <f t="shared" si="8"/>
        <v>50</v>
      </c>
      <c r="J33" s="495">
        <f>+'[8]A'!C32</f>
        <v>298</v>
      </c>
      <c r="K33" s="472">
        <f t="shared" si="9"/>
        <v>1425036</v>
      </c>
      <c r="L33" s="498">
        <f t="shared" si="10"/>
        <v>447</v>
      </c>
      <c r="M33" s="495">
        <f>+'[8]A'!D32</f>
        <v>71</v>
      </c>
      <c r="N33" s="49">
        <f t="shared" si="11"/>
        <v>137084</v>
      </c>
      <c r="O33" s="48">
        <f t="shared" si="12"/>
        <v>43</v>
      </c>
      <c r="P33" s="48">
        <f t="shared" si="13"/>
        <v>4977</v>
      </c>
      <c r="Q33" s="367">
        <f t="shared" si="14"/>
        <v>0.13272</v>
      </c>
      <c r="R33" s="49">
        <f t="shared" si="15"/>
        <v>1067980</v>
      </c>
      <c r="S33" s="48">
        <f t="shared" si="16"/>
        <v>335</v>
      </c>
      <c r="T33" s="48">
        <f t="shared" si="17"/>
        <v>1107</v>
      </c>
      <c r="U33" s="34">
        <f t="shared" si="18"/>
        <v>3630</v>
      </c>
      <c r="V33" s="49">
        <f t="shared" si="19"/>
        <v>3188</v>
      </c>
      <c r="W33" s="49">
        <f t="shared" si="20"/>
        <v>11572440</v>
      </c>
      <c r="X33" s="51">
        <f>'Table 6 Local Wealth Factor'!L32</f>
        <v>0.71720845</v>
      </c>
      <c r="Y33" s="51">
        <f t="shared" si="21"/>
        <v>0.00374199</v>
      </c>
      <c r="Z33" s="51">
        <f t="shared" si="22"/>
        <v>0.00268379</v>
      </c>
      <c r="AA33" s="49">
        <f t="shared" si="46"/>
        <v>2904951</v>
      </c>
      <c r="AB33" s="52">
        <f t="shared" si="23"/>
        <v>0.251</v>
      </c>
      <c r="AC33" s="525">
        <f t="shared" si="24"/>
        <v>8667489</v>
      </c>
      <c r="AD33" s="52">
        <f t="shared" si="25"/>
        <v>0.749</v>
      </c>
      <c r="AE33" s="596">
        <f>'Table 7 Local Revenue'!AL32</f>
        <v>6109158.5</v>
      </c>
      <c r="AF33" s="49">
        <f t="shared" si="26"/>
        <v>3204207.5</v>
      </c>
      <c r="AG33" s="61">
        <f t="shared" si="27"/>
        <v>0</v>
      </c>
      <c r="AH33" s="49">
        <f t="shared" si="28"/>
        <v>3818905</v>
      </c>
      <c r="AI33" s="53">
        <f t="shared" si="29"/>
        <v>3204207.5</v>
      </c>
      <c r="AJ33" s="525">
        <f t="shared" si="30"/>
        <v>1825357</v>
      </c>
      <c r="AK33" s="52">
        <f t="shared" si="31"/>
        <v>0.5696750288487871</v>
      </c>
      <c r="AL33" s="49">
        <f t="shared" si="32"/>
        <v>350177</v>
      </c>
      <c r="AM33" s="49">
        <f t="shared" si="33"/>
        <v>5029564.5</v>
      </c>
      <c r="AN33" s="49">
        <f t="shared" si="34"/>
        <v>10492846</v>
      </c>
      <c r="AO33" s="49">
        <f t="shared" si="0"/>
        <v>4158.88</v>
      </c>
      <c r="AP33" s="49">
        <f>'Table 4 Level 3'!AE30</f>
        <v>-194117</v>
      </c>
      <c r="AQ33" s="49">
        <f t="shared" si="35"/>
        <v>-76.94</v>
      </c>
      <c r="AR33" s="525">
        <f t="shared" si="36"/>
        <v>10298729</v>
      </c>
      <c r="AS33" s="49">
        <f>AR33-'Table 2 Distribution &amp; Adjusts'!K30</f>
        <v>427058.7757917661</v>
      </c>
      <c r="AT33" s="525">
        <f t="shared" si="1"/>
        <v>4081.94</v>
      </c>
      <c r="AU33" s="48">
        <f t="shared" si="37"/>
        <v>16</v>
      </c>
      <c r="AV33" s="52">
        <f t="shared" si="2"/>
        <v>0.6277</v>
      </c>
      <c r="AW33" s="48">
        <f t="shared" si="38"/>
        <v>40</v>
      </c>
      <c r="AX33" s="49">
        <f t="shared" si="39"/>
        <v>6109158.5</v>
      </c>
      <c r="AY33" s="49">
        <f t="shared" si="3"/>
        <v>2421.39</v>
      </c>
      <c r="AZ33" s="48">
        <f t="shared" si="40"/>
        <v>22</v>
      </c>
      <c r="BA33" s="52">
        <f t="shared" si="41"/>
        <v>0.3723</v>
      </c>
      <c r="BB33" s="49">
        <f t="shared" si="4"/>
        <v>16407887.5</v>
      </c>
      <c r="BC33" s="49">
        <f t="shared" si="5"/>
        <v>6503.32</v>
      </c>
      <c r="BD33" s="48">
        <f t="shared" si="42"/>
        <v>10</v>
      </c>
      <c r="BE33" s="802">
        <v>34201.2655660032</v>
      </c>
      <c r="BF33" s="384">
        <f t="shared" si="43"/>
        <v>36261.2655660032</v>
      </c>
      <c r="BG33" s="520">
        <f t="shared" si="44"/>
        <v>18</v>
      </c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</row>
    <row r="34" spans="1:156" s="6" customFormat="1" ht="12.75">
      <c r="A34" s="666">
        <v>26</v>
      </c>
      <c r="B34" s="495" t="s">
        <v>31</v>
      </c>
      <c r="C34" s="495">
        <f>+'Table 8 Membership'!U34</f>
        <v>50169</v>
      </c>
      <c r="D34" s="495">
        <v>34714</v>
      </c>
      <c r="E34" s="469">
        <f t="shared" si="6"/>
        <v>18812388</v>
      </c>
      <c r="F34" s="667">
        <f t="shared" si="45"/>
        <v>5901</v>
      </c>
      <c r="G34" s="495">
        <f>+'[5]Sheet1'!C28</f>
        <v>9749</v>
      </c>
      <c r="H34" s="469">
        <f t="shared" si="7"/>
        <v>1552556</v>
      </c>
      <c r="I34" s="495">
        <f t="shared" si="8"/>
        <v>487</v>
      </c>
      <c r="J34" s="495">
        <f>+'[8]A'!C33</f>
        <v>7716</v>
      </c>
      <c r="K34" s="469">
        <f t="shared" si="9"/>
        <v>36897912</v>
      </c>
      <c r="L34" s="495">
        <f t="shared" si="10"/>
        <v>11574</v>
      </c>
      <c r="M34" s="495">
        <f>+'[8]A'!D33</f>
        <v>2671</v>
      </c>
      <c r="N34" s="35">
        <f t="shared" si="11"/>
        <v>5110364</v>
      </c>
      <c r="O34" s="34">
        <f t="shared" si="12"/>
        <v>1603</v>
      </c>
      <c r="P34" s="34">
        <f t="shared" si="13"/>
        <v>0</v>
      </c>
      <c r="Q34" s="366">
        <f t="shared" si="14"/>
        <v>0</v>
      </c>
      <c r="R34" s="35">
        <f t="shared" si="15"/>
        <v>0</v>
      </c>
      <c r="S34" s="34">
        <f t="shared" si="16"/>
        <v>0</v>
      </c>
      <c r="T34" s="34">
        <f t="shared" si="17"/>
        <v>19565</v>
      </c>
      <c r="U34" s="126">
        <f t="shared" si="18"/>
        <v>69734</v>
      </c>
      <c r="V34" s="35">
        <f t="shared" si="19"/>
        <v>3188</v>
      </c>
      <c r="W34" s="35">
        <f t="shared" si="20"/>
        <v>222311992</v>
      </c>
      <c r="X34" s="38">
        <f>'Table 6 Local Wealth Factor'!L33</f>
        <v>1.62576831</v>
      </c>
      <c r="Y34" s="38">
        <f t="shared" si="21"/>
        <v>0.07188539</v>
      </c>
      <c r="Z34" s="38">
        <f t="shared" si="22"/>
        <v>0.11686899</v>
      </c>
      <c r="AA34" s="35">
        <f t="shared" si="46"/>
        <v>126499735</v>
      </c>
      <c r="AB34" s="39">
        <f t="shared" si="23"/>
        <v>0.569</v>
      </c>
      <c r="AC34" s="524">
        <f t="shared" si="24"/>
        <v>95812257</v>
      </c>
      <c r="AD34" s="39">
        <f t="shared" si="25"/>
        <v>0.431</v>
      </c>
      <c r="AE34" s="595">
        <f>'Table 7 Local Revenue'!AL33</f>
        <v>167604384.5</v>
      </c>
      <c r="AF34" s="35">
        <f t="shared" si="26"/>
        <v>41104649.5</v>
      </c>
      <c r="AG34" s="42">
        <f t="shared" si="27"/>
        <v>0</v>
      </c>
      <c r="AH34" s="35">
        <f t="shared" si="28"/>
        <v>73362957</v>
      </c>
      <c r="AI34" s="40">
        <f t="shared" si="29"/>
        <v>41104649.5</v>
      </c>
      <c r="AJ34" s="524">
        <f t="shared" si="30"/>
        <v>1008668</v>
      </c>
      <c r="AK34" s="39">
        <f t="shared" si="31"/>
        <v>0.02453902447215856</v>
      </c>
      <c r="AL34" s="35">
        <f t="shared" si="32"/>
        <v>791587</v>
      </c>
      <c r="AM34" s="35">
        <f t="shared" si="33"/>
        <v>42113317.5</v>
      </c>
      <c r="AN34" s="35">
        <f t="shared" si="34"/>
        <v>96820925</v>
      </c>
      <c r="AO34" s="35">
        <f t="shared" si="0"/>
        <v>1929.9</v>
      </c>
      <c r="AP34" s="35">
        <f>'Table 4 Level 3'!AE31</f>
        <v>32076567</v>
      </c>
      <c r="AQ34" s="35">
        <f t="shared" si="35"/>
        <v>639.37</v>
      </c>
      <c r="AR34" s="524">
        <f t="shared" si="36"/>
        <v>128897492</v>
      </c>
      <c r="AS34" s="35">
        <f>AR34-'Table 2 Distribution &amp; Adjusts'!K31</f>
        <v>9479449.356047168</v>
      </c>
      <c r="AT34" s="524">
        <f t="shared" si="1"/>
        <v>2569.27</v>
      </c>
      <c r="AU34" s="34">
        <f t="shared" si="37"/>
        <v>62</v>
      </c>
      <c r="AV34" s="39">
        <f t="shared" si="2"/>
        <v>0.4347</v>
      </c>
      <c r="AW34" s="34">
        <f t="shared" si="38"/>
        <v>60</v>
      </c>
      <c r="AX34" s="35">
        <f t="shared" si="39"/>
        <v>167604384.5</v>
      </c>
      <c r="AY34" s="35">
        <f t="shared" si="3"/>
        <v>3340.8</v>
      </c>
      <c r="AZ34" s="34">
        <f t="shared" si="40"/>
        <v>9</v>
      </c>
      <c r="BA34" s="39">
        <f t="shared" si="41"/>
        <v>0.5653</v>
      </c>
      <c r="BB34" s="35">
        <f t="shared" si="4"/>
        <v>296501876.5</v>
      </c>
      <c r="BC34" s="35">
        <f t="shared" si="5"/>
        <v>5910.06</v>
      </c>
      <c r="BD34" s="34">
        <f t="shared" si="42"/>
        <v>22</v>
      </c>
      <c r="BE34" s="801">
        <v>34222.7289308618</v>
      </c>
      <c r="BF34" s="383">
        <f t="shared" si="43"/>
        <v>36282.7289308618</v>
      </c>
      <c r="BG34" s="519">
        <f t="shared" si="44"/>
        <v>17</v>
      </c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</row>
    <row r="35" spans="1:156" s="6" customFormat="1" ht="12.75">
      <c r="A35" s="666">
        <v>27</v>
      </c>
      <c r="B35" s="495" t="s">
        <v>32</v>
      </c>
      <c r="C35" s="495">
        <f>+'Table 8 Membership'!U35</f>
        <v>5740</v>
      </c>
      <c r="D35" s="495">
        <v>3240</v>
      </c>
      <c r="E35" s="469">
        <f t="shared" si="6"/>
        <v>1756588</v>
      </c>
      <c r="F35" s="667">
        <f t="shared" si="45"/>
        <v>551</v>
      </c>
      <c r="G35" s="495">
        <f>+'[5]Sheet1'!C29</f>
        <v>2109</v>
      </c>
      <c r="H35" s="469">
        <f t="shared" si="7"/>
        <v>334740</v>
      </c>
      <c r="I35" s="495">
        <f t="shared" si="8"/>
        <v>105</v>
      </c>
      <c r="J35" s="495">
        <f>+'[8]A'!C34</f>
        <v>998</v>
      </c>
      <c r="K35" s="469">
        <f t="shared" si="9"/>
        <v>4772436</v>
      </c>
      <c r="L35" s="495">
        <f t="shared" si="10"/>
        <v>1497</v>
      </c>
      <c r="M35" s="495">
        <f>+'[8]A'!D34</f>
        <v>119</v>
      </c>
      <c r="N35" s="35">
        <f t="shared" si="11"/>
        <v>226348</v>
      </c>
      <c r="O35" s="34">
        <f t="shared" si="12"/>
        <v>71</v>
      </c>
      <c r="P35" s="34">
        <f t="shared" si="13"/>
        <v>1760</v>
      </c>
      <c r="Q35" s="366">
        <f t="shared" si="14"/>
        <v>0.04693</v>
      </c>
      <c r="R35" s="35">
        <f t="shared" si="15"/>
        <v>857572</v>
      </c>
      <c r="S35" s="34">
        <f t="shared" si="16"/>
        <v>269</v>
      </c>
      <c r="T35" s="34">
        <f t="shared" si="17"/>
        <v>2493</v>
      </c>
      <c r="U35" s="34">
        <f t="shared" si="18"/>
        <v>8233</v>
      </c>
      <c r="V35" s="35">
        <f t="shared" si="19"/>
        <v>3188</v>
      </c>
      <c r="W35" s="35">
        <f t="shared" si="20"/>
        <v>26246804</v>
      </c>
      <c r="X35" s="38">
        <f>'Table 6 Local Wealth Factor'!L34</f>
        <v>0.6747331</v>
      </c>
      <c r="Y35" s="38">
        <f t="shared" si="21"/>
        <v>0.008487</v>
      </c>
      <c r="Z35" s="38">
        <f t="shared" si="22"/>
        <v>0.00572646</v>
      </c>
      <c r="AA35" s="35">
        <f t="shared" si="46"/>
        <v>6198357</v>
      </c>
      <c r="AB35" s="39">
        <f t="shared" si="23"/>
        <v>0.2362</v>
      </c>
      <c r="AC35" s="524">
        <f t="shared" si="24"/>
        <v>20048447</v>
      </c>
      <c r="AD35" s="39">
        <f t="shared" si="25"/>
        <v>0.7638</v>
      </c>
      <c r="AE35" s="595">
        <f>'Table 7 Local Revenue'!AL34</f>
        <v>10400662</v>
      </c>
      <c r="AF35" s="35">
        <f t="shared" si="26"/>
        <v>4202305</v>
      </c>
      <c r="AG35" s="42">
        <f t="shared" si="27"/>
        <v>0</v>
      </c>
      <c r="AH35" s="35">
        <f t="shared" si="28"/>
        <v>8661445</v>
      </c>
      <c r="AI35" s="40">
        <f t="shared" si="29"/>
        <v>4202305</v>
      </c>
      <c r="AJ35" s="524">
        <f t="shared" si="30"/>
        <v>2501044</v>
      </c>
      <c r="AK35" s="39">
        <f t="shared" si="31"/>
        <v>0.5951600371700769</v>
      </c>
      <c r="AL35" s="35">
        <f t="shared" si="32"/>
        <v>2653903</v>
      </c>
      <c r="AM35" s="35">
        <f t="shared" si="33"/>
        <v>6703349</v>
      </c>
      <c r="AN35" s="35">
        <f t="shared" si="34"/>
        <v>22549491</v>
      </c>
      <c r="AO35" s="35">
        <f t="shared" si="0"/>
        <v>3928.48</v>
      </c>
      <c r="AP35" s="35">
        <f>'Table 4 Level 3'!AE32</f>
        <v>458640</v>
      </c>
      <c r="AQ35" s="35">
        <f t="shared" si="35"/>
        <v>79.9</v>
      </c>
      <c r="AR35" s="524">
        <f t="shared" si="36"/>
        <v>23008131</v>
      </c>
      <c r="AS35" s="35">
        <f>AR35-'Table 2 Distribution &amp; Adjusts'!K32</f>
        <v>954921.6660720482</v>
      </c>
      <c r="AT35" s="524">
        <f t="shared" si="1"/>
        <v>4008.39</v>
      </c>
      <c r="AU35" s="34">
        <f t="shared" si="37"/>
        <v>19</v>
      </c>
      <c r="AV35" s="39">
        <f t="shared" si="2"/>
        <v>0.6887</v>
      </c>
      <c r="AW35" s="34">
        <f t="shared" si="38"/>
        <v>29</v>
      </c>
      <c r="AX35" s="35">
        <f t="shared" si="39"/>
        <v>10400662</v>
      </c>
      <c r="AY35" s="35">
        <f t="shared" si="3"/>
        <v>1811.96</v>
      </c>
      <c r="AZ35" s="34">
        <f t="shared" si="40"/>
        <v>40</v>
      </c>
      <c r="BA35" s="39">
        <f t="shared" si="41"/>
        <v>0.3113</v>
      </c>
      <c r="BB35" s="35">
        <f t="shared" si="4"/>
        <v>33408793</v>
      </c>
      <c r="BC35" s="35">
        <f t="shared" si="5"/>
        <v>5820.35</v>
      </c>
      <c r="BD35" s="34">
        <f t="shared" si="42"/>
        <v>26</v>
      </c>
      <c r="BE35" s="801">
        <v>33773.5299094157</v>
      </c>
      <c r="BF35" s="383">
        <f t="shared" si="43"/>
        <v>35833.5299094157</v>
      </c>
      <c r="BG35" s="519">
        <f t="shared" si="44"/>
        <v>20</v>
      </c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</row>
    <row r="36" spans="1:156" s="6" customFormat="1" ht="12.75">
      <c r="A36" s="666">
        <v>28</v>
      </c>
      <c r="B36" s="495" t="s">
        <v>33</v>
      </c>
      <c r="C36" s="495">
        <f>+'Table 8 Membership'!U36</f>
        <v>29110</v>
      </c>
      <c r="D36" s="495">
        <v>13452</v>
      </c>
      <c r="E36" s="469">
        <f t="shared" si="6"/>
        <v>7290956</v>
      </c>
      <c r="F36" s="667">
        <f t="shared" si="45"/>
        <v>2287</v>
      </c>
      <c r="G36" s="495">
        <f>+'[5]Sheet1'!C30</f>
        <v>5774</v>
      </c>
      <c r="H36" s="469">
        <f t="shared" si="7"/>
        <v>921332</v>
      </c>
      <c r="I36" s="495">
        <f t="shared" si="8"/>
        <v>289</v>
      </c>
      <c r="J36" s="495">
        <f>+'[8]A'!C35</f>
        <v>3442</v>
      </c>
      <c r="K36" s="469">
        <f t="shared" si="9"/>
        <v>16459644</v>
      </c>
      <c r="L36" s="495">
        <f t="shared" si="10"/>
        <v>5163</v>
      </c>
      <c r="M36" s="495">
        <f>+'[8]A'!D35</f>
        <v>1366</v>
      </c>
      <c r="N36" s="35">
        <f t="shared" si="11"/>
        <v>2614160</v>
      </c>
      <c r="O36" s="34">
        <f t="shared" si="12"/>
        <v>820</v>
      </c>
      <c r="P36" s="34">
        <f t="shared" si="13"/>
        <v>0</v>
      </c>
      <c r="Q36" s="366">
        <f t="shared" si="14"/>
        <v>0</v>
      </c>
      <c r="R36" s="35">
        <f t="shared" si="15"/>
        <v>0</v>
      </c>
      <c r="S36" s="34">
        <f t="shared" si="16"/>
        <v>0</v>
      </c>
      <c r="T36" s="34">
        <f t="shared" si="17"/>
        <v>8559</v>
      </c>
      <c r="U36" s="34">
        <f t="shared" si="18"/>
        <v>37669</v>
      </c>
      <c r="V36" s="35">
        <f t="shared" si="19"/>
        <v>3188</v>
      </c>
      <c r="W36" s="35">
        <f t="shared" si="20"/>
        <v>120088772</v>
      </c>
      <c r="X36" s="38">
        <f>'Table 6 Local Wealth Factor'!L35</f>
        <v>1.32048148</v>
      </c>
      <c r="Y36" s="38">
        <f t="shared" si="21"/>
        <v>0.03883114</v>
      </c>
      <c r="Z36" s="38">
        <f t="shared" si="22"/>
        <v>0.0512758</v>
      </c>
      <c r="AA36" s="35">
        <f t="shared" si="46"/>
        <v>55501251</v>
      </c>
      <c r="AB36" s="39">
        <f t="shared" si="23"/>
        <v>0.4622</v>
      </c>
      <c r="AC36" s="524">
        <f t="shared" si="24"/>
        <v>64587521</v>
      </c>
      <c r="AD36" s="39">
        <f t="shared" si="25"/>
        <v>0.5378</v>
      </c>
      <c r="AE36" s="595">
        <f>'Table 7 Local Revenue'!AL35</f>
        <v>75329503</v>
      </c>
      <c r="AF36" s="35">
        <f t="shared" si="26"/>
        <v>19828252</v>
      </c>
      <c r="AG36" s="42">
        <f t="shared" si="27"/>
        <v>0</v>
      </c>
      <c r="AH36" s="35">
        <f t="shared" si="28"/>
        <v>39629295</v>
      </c>
      <c r="AI36" s="40">
        <f t="shared" si="29"/>
        <v>19828252</v>
      </c>
      <c r="AJ36" s="524">
        <f t="shared" si="30"/>
        <v>4118548</v>
      </c>
      <c r="AK36" s="39">
        <f t="shared" si="31"/>
        <v>0.20771109828541617</v>
      </c>
      <c r="AL36" s="35">
        <f t="shared" si="32"/>
        <v>4112897</v>
      </c>
      <c r="AM36" s="35">
        <f t="shared" si="33"/>
        <v>23946800</v>
      </c>
      <c r="AN36" s="35">
        <f t="shared" si="34"/>
        <v>68706069</v>
      </c>
      <c r="AO36" s="35">
        <f t="shared" si="0"/>
        <v>2360.22</v>
      </c>
      <c r="AP36" s="35">
        <f>'Table 4 Level 3'!AE33</f>
        <v>4581763</v>
      </c>
      <c r="AQ36" s="35">
        <f t="shared" si="35"/>
        <v>157.39</v>
      </c>
      <c r="AR36" s="524">
        <f t="shared" si="36"/>
        <v>73287832</v>
      </c>
      <c r="AS36" s="35">
        <f>AR36-'Table 2 Distribution &amp; Adjusts'!K33</f>
        <v>5378465.6333082765</v>
      </c>
      <c r="AT36" s="524">
        <f t="shared" si="1"/>
        <v>2517.62</v>
      </c>
      <c r="AU36" s="34">
        <f t="shared" si="37"/>
        <v>64</v>
      </c>
      <c r="AV36" s="39">
        <f t="shared" si="2"/>
        <v>0.4931</v>
      </c>
      <c r="AW36" s="34">
        <f t="shared" si="38"/>
        <v>56</v>
      </c>
      <c r="AX36" s="35">
        <f t="shared" si="39"/>
        <v>75329503</v>
      </c>
      <c r="AY36" s="35">
        <f t="shared" si="3"/>
        <v>2587.75</v>
      </c>
      <c r="AZ36" s="34">
        <f t="shared" si="40"/>
        <v>19</v>
      </c>
      <c r="BA36" s="39">
        <f t="shared" si="41"/>
        <v>0.5069</v>
      </c>
      <c r="BB36" s="35">
        <f t="shared" si="4"/>
        <v>148617335</v>
      </c>
      <c r="BC36" s="35">
        <f t="shared" si="5"/>
        <v>5105.37</v>
      </c>
      <c r="BD36" s="34">
        <f t="shared" si="42"/>
        <v>56</v>
      </c>
      <c r="BE36" s="801">
        <v>33237.854909435</v>
      </c>
      <c r="BF36" s="383">
        <f t="shared" si="43"/>
        <v>35297.854909435</v>
      </c>
      <c r="BG36" s="519">
        <f t="shared" si="44"/>
        <v>23</v>
      </c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</row>
    <row r="37" spans="1:156" s="6" customFormat="1" ht="12.75">
      <c r="A37" s="666">
        <v>29</v>
      </c>
      <c r="B37" s="495" t="s">
        <v>34</v>
      </c>
      <c r="C37" s="495">
        <f>+'Table 8 Membership'!U37</f>
        <v>15071</v>
      </c>
      <c r="D37" s="495">
        <v>8098</v>
      </c>
      <c r="E37" s="469">
        <f t="shared" si="6"/>
        <v>4389876</v>
      </c>
      <c r="F37" s="667">
        <f t="shared" si="45"/>
        <v>1377</v>
      </c>
      <c r="G37" s="495">
        <f>+'[5]Sheet1'!C31</f>
        <v>4323</v>
      </c>
      <c r="H37" s="469">
        <f t="shared" si="7"/>
        <v>688608</v>
      </c>
      <c r="I37" s="495">
        <f t="shared" si="8"/>
        <v>216</v>
      </c>
      <c r="J37" s="495">
        <f>+'[8]A'!C36</f>
        <v>2159</v>
      </c>
      <c r="K37" s="469">
        <f t="shared" si="9"/>
        <v>10325932</v>
      </c>
      <c r="L37" s="495">
        <f t="shared" si="10"/>
        <v>3239</v>
      </c>
      <c r="M37" s="495">
        <f>+'[8]A'!D36</f>
        <v>230</v>
      </c>
      <c r="N37" s="35">
        <f t="shared" si="11"/>
        <v>439944</v>
      </c>
      <c r="O37" s="34">
        <f t="shared" si="12"/>
        <v>138</v>
      </c>
      <c r="P37" s="34">
        <f t="shared" si="13"/>
        <v>0</v>
      </c>
      <c r="Q37" s="366">
        <f t="shared" si="14"/>
        <v>0</v>
      </c>
      <c r="R37" s="35">
        <f t="shared" si="15"/>
        <v>0</v>
      </c>
      <c r="S37" s="34">
        <f t="shared" si="16"/>
        <v>0</v>
      </c>
      <c r="T37" s="34">
        <f t="shared" si="17"/>
        <v>4970</v>
      </c>
      <c r="U37" s="34">
        <f t="shared" si="18"/>
        <v>20041</v>
      </c>
      <c r="V37" s="35">
        <f t="shared" si="19"/>
        <v>3188</v>
      </c>
      <c r="W37" s="35">
        <f t="shared" si="20"/>
        <v>63890708</v>
      </c>
      <c r="X37" s="38">
        <f>'Table 6 Local Wealth Factor'!L36</f>
        <v>0.81762057</v>
      </c>
      <c r="Y37" s="38">
        <f t="shared" si="21"/>
        <v>0.02065929</v>
      </c>
      <c r="Z37" s="38">
        <f t="shared" si="22"/>
        <v>0.01689146</v>
      </c>
      <c r="AA37" s="35">
        <f t="shared" si="46"/>
        <v>18283423</v>
      </c>
      <c r="AB37" s="39">
        <f t="shared" si="23"/>
        <v>0.2862</v>
      </c>
      <c r="AC37" s="524">
        <f t="shared" si="24"/>
        <v>45607285</v>
      </c>
      <c r="AD37" s="39">
        <f t="shared" si="25"/>
        <v>0.7138</v>
      </c>
      <c r="AE37" s="595">
        <f>'Table 7 Local Revenue'!AL36</f>
        <v>32135638.5</v>
      </c>
      <c r="AF37" s="35">
        <f t="shared" si="26"/>
        <v>13852215.5</v>
      </c>
      <c r="AG37" s="42">
        <f t="shared" si="27"/>
        <v>0</v>
      </c>
      <c r="AH37" s="35">
        <f t="shared" si="28"/>
        <v>21083934</v>
      </c>
      <c r="AI37" s="40">
        <f t="shared" si="29"/>
        <v>13852215.5</v>
      </c>
      <c r="AJ37" s="524">
        <f t="shared" si="30"/>
        <v>7056702</v>
      </c>
      <c r="AK37" s="39">
        <f t="shared" si="31"/>
        <v>0.5094276796372392</v>
      </c>
      <c r="AL37" s="35">
        <f t="shared" si="32"/>
        <v>3684037</v>
      </c>
      <c r="AM37" s="35">
        <f t="shared" si="33"/>
        <v>20908917.5</v>
      </c>
      <c r="AN37" s="35">
        <f t="shared" si="34"/>
        <v>52663987</v>
      </c>
      <c r="AO37" s="35">
        <f t="shared" si="0"/>
        <v>3494.39</v>
      </c>
      <c r="AP37" s="35">
        <f>'Table 4 Level 3'!AE34</f>
        <v>1756983</v>
      </c>
      <c r="AQ37" s="35">
        <f t="shared" si="35"/>
        <v>116.58</v>
      </c>
      <c r="AR37" s="524">
        <f t="shared" si="36"/>
        <v>54420970</v>
      </c>
      <c r="AS37" s="35">
        <f>AR37-'Table 2 Distribution &amp; Adjusts'!K34</f>
        <v>3209438.299736291</v>
      </c>
      <c r="AT37" s="524">
        <f t="shared" si="1"/>
        <v>3610.97</v>
      </c>
      <c r="AU37" s="34">
        <f t="shared" si="37"/>
        <v>39</v>
      </c>
      <c r="AV37" s="39">
        <f t="shared" si="2"/>
        <v>0.6287</v>
      </c>
      <c r="AW37" s="34">
        <f t="shared" si="38"/>
        <v>39</v>
      </c>
      <c r="AX37" s="35">
        <f t="shared" si="39"/>
        <v>32135638.5</v>
      </c>
      <c r="AY37" s="35">
        <f t="shared" si="3"/>
        <v>2132.28</v>
      </c>
      <c r="AZ37" s="34">
        <f t="shared" si="40"/>
        <v>28</v>
      </c>
      <c r="BA37" s="39">
        <f t="shared" si="41"/>
        <v>0.3713</v>
      </c>
      <c r="BB37" s="35">
        <f t="shared" si="4"/>
        <v>86556608.5</v>
      </c>
      <c r="BC37" s="35">
        <f t="shared" si="5"/>
        <v>5743.26</v>
      </c>
      <c r="BD37" s="34">
        <f t="shared" si="42"/>
        <v>34</v>
      </c>
      <c r="BE37" s="801">
        <v>31029.6881384556</v>
      </c>
      <c r="BF37" s="383">
        <f t="shared" si="43"/>
        <v>33089.6881384556</v>
      </c>
      <c r="BG37" s="519">
        <f t="shared" si="44"/>
        <v>45</v>
      </c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</row>
    <row r="38" spans="1:156" s="54" customFormat="1" ht="12.75">
      <c r="A38" s="668">
        <v>30</v>
      </c>
      <c r="B38" s="498" t="s">
        <v>35</v>
      </c>
      <c r="C38" s="498">
        <f>+'Table 8 Membership'!U38</f>
        <v>2537</v>
      </c>
      <c r="D38" s="498">
        <v>1332</v>
      </c>
      <c r="E38" s="472">
        <f t="shared" si="6"/>
        <v>720488</v>
      </c>
      <c r="F38" s="669">
        <f t="shared" si="45"/>
        <v>226</v>
      </c>
      <c r="G38" s="498">
        <f>+'[5]Sheet1'!C32</f>
        <v>1005</v>
      </c>
      <c r="H38" s="472">
        <f t="shared" si="7"/>
        <v>159400</v>
      </c>
      <c r="I38" s="498">
        <f t="shared" si="8"/>
        <v>50</v>
      </c>
      <c r="J38" s="495">
        <f>+'[8]A'!C37</f>
        <v>231</v>
      </c>
      <c r="K38" s="472">
        <f t="shared" si="9"/>
        <v>1106236</v>
      </c>
      <c r="L38" s="498">
        <f t="shared" si="10"/>
        <v>347</v>
      </c>
      <c r="M38" s="495">
        <f>+'[8]A'!D37</f>
        <v>41</v>
      </c>
      <c r="N38" s="49">
        <f t="shared" si="11"/>
        <v>79700</v>
      </c>
      <c r="O38" s="48">
        <f t="shared" si="12"/>
        <v>25</v>
      </c>
      <c r="P38" s="48">
        <f t="shared" si="13"/>
        <v>4963</v>
      </c>
      <c r="Q38" s="367">
        <f t="shared" si="14"/>
        <v>0.13235</v>
      </c>
      <c r="R38" s="49">
        <f t="shared" si="15"/>
        <v>1071168</v>
      </c>
      <c r="S38" s="48">
        <f t="shared" si="16"/>
        <v>336</v>
      </c>
      <c r="T38" s="48">
        <f t="shared" si="17"/>
        <v>984</v>
      </c>
      <c r="U38" s="34">
        <f t="shared" si="18"/>
        <v>3521</v>
      </c>
      <c r="V38" s="49">
        <f t="shared" si="19"/>
        <v>3188</v>
      </c>
      <c r="W38" s="49">
        <f t="shared" si="20"/>
        <v>11224948</v>
      </c>
      <c r="X38" s="51">
        <f>'Table 6 Local Wealth Factor'!L37</f>
        <v>0.64209535</v>
      </c>
      <c r="Y38" s="51">
        <f t="shared" si="21"/>
        <v>0.00362963</v>
      </c>
      <c r="Z38" s="51">
        <f t="shared" si="22"/>
        <v>0.00233057</v>
      </c>
      <c r="AA38" s="49">
        <f t="shared" si="46"/>
        <v>2522624</v>
      </c>
      <c r="AB38" s="52">
        <f t="shared" si="23"/>
        <v>0.2247</v>
      </c>
      <c r="AC38" s="525">
        <f t="shared" si="24"/>
        <v>8702324</v>
      </c>
      <c r="AD38" s="52">
        <f t="shared" si="25"/>
        <v>0.7753</v>
      </c>
      <c r="AE38" s="596">
        <f>'Table 7 Local Revenue'!AL37</f>
        <v>4636794</v>
      </c>
      <c r="AF38" s="49">
        <f t="shared" si="26"/>
        <v>2114170</v>
      </c>
      <c r="AG38" s="61">
        <f t="shared" si="27"/>
        <v>0</v>
      </c>
      <c r="AH38" s="49">
        <f t="shared" si="28"/>
        <v>3704233</v>
      </c>
      <c r="AI38" s="53">
        <f t="shared" si="29"/>
        <v>2114170</v>
      </c>
      <c r="AJ38" s="525">
        <f t="shared" si="30"/>
        <v>1299671</v>
      </c>
      <c r="AK38" s="52">
        <f t="shared" si="31"/>
        <v>0.6147429014696074</v>
      </c>
      <c r="AL38" s="49">
        <f t="shared" si="32"/>
        <v>977480</v>
      </c>
      <c r="AM38" s="49">
        <f t="shared" si="33"/>
        <v>3413841</v>
      </c>
      <c r="AN38" s="49">
        <f t="shared" si="34"/>
        <v>10001995</v>
      </c>
      <c r="AO38" s="49">
        <f t="shared" si="0"/>
        <v>3942.45</v>
      </c>
      <c r="AP38" s="49">
        <f>'Table 4 Level 3'!AE35</f>
        <v>236862</v>
      </c>
      <c r="AQ38" s="49">
        <f t="shared" si="35"/>
        <v>93.36</v>
      </c>
      <c r="AR38" s="525">
        <f t="shared" si="36"/>
        <v>10238857</v>
      </c>
      <c r="AS38" s="49">
        <f>AR38-'Table 2 Distribution &amp; Adjusts'!K35</f>
        <v>366507.40639464743</v>
      </c>
      <c r="AT38" s="525">
        <f t="shared" si="1"/>
        <v>4035.81</v>
      </c>
      <c r="AU38" s="48">
        <f t="shared" si="37"/>
        <v>18</v>
      </c>
      <c r="AV38" s="52">
        <f t="shared" si="2"/>
        <v>0.6883</v>
      </c>
      <c r="AW38" s="48">
        <f t="shared" si="38"/>
        <v>30</v>
      </c>
      <c r="AX38" s="49">
        <f t="shared" si="39"/>
        <v>4636794</v>
      </c>
      <c r="AY38" s="49">
        <f t="shared" si="3"/>
        <v>1827.67</v>
      </c>
      <c r="AZ38" s="48">
        <f t="shared" si="40"/>
        <v>36</v>
      </c>
      <c r="BA38" s="52">
        <f t="shared" si="41"/>
        <v>0.3117</v>
      </c>
      <c r="BB38" s="49">
        <f t="shared" si="4"/>
        <v>14875651</v>
      </c>
      <c r="BC38" s="49">
        <f t="shared" si="5"/>
        <v>5863.48</v>
      </c>
      <c r="BD38" s="48">
        <f t="shared" si="42"/>
        <v>25</v>
      </c>
      <c r="BE38" s="802">
        <v>30874.1572404971</v>
      </c>
      <c r="BF38" s="384">
        <f t="shared" si="43"/>
        <v>32934.1572404971</v>
      </c>
      <c r="BG38" s="520">
        <f t="shared" si="44"/>
        <v>48</v>
      </c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</row>
    <row r="39" spans="1:156" s="6" customFormat="1" ht="12.75">
      <c r="A39" s="666">
        <v>31</v>
      </c>
      <c r="B39" s="495" t="s">
        <v>36</v>
      </c>
      <c r="C39" s="495">
        <f>+'Table 8 Membership'!U39</f>
        <v>6602</v>
      </c>
      <c r="D39" s="495">
        <v>3506</v>
      </c>
      <c r="E39" s="469">
        <f t="shared" si="6"/>
        <v>1900048</v>
      </c>
      <c r="F39" s="667">
        <f t="shared" si="45"/>
        <v>596</v>
      </c>
      <c r="G39" s="495">
        <f>+'[5]Sheet1'!C33</f>
        <v>2118</v>
      </c>
      <c r="H39" s="469">
        <f t="shared" si="7"/>
        <v>337928</v>
      </c>
      <c r="I39" s="495">
        <f t="shared" si="8"/>
        <v>106</v>
      </c>
      <c r="J39" s="495">
        <f>+'[8]A'!C38</f>
        <v>797</v>
      </c>
      <c r="K39" s="469">
        <f t="shared" si="9"/>
        <v>3812848</v>
      </c>
      <c r="L39" s="495">
        <f t="shared" si="10"/>
        <v>1196</v>
      </c>
      <c r="M39" s="495">
        <f>+'[8]A'!D38</f>
        <v>169</v>
      </c>
      <c r="N39" s="35">
        <f t="shared" si="11"/>
        <v>321988</v>
      </c>
      <c r="O39" s="34">
        <f t="shared" si="12"/>
        <v>101</v>
      </c>
      <c r="P39" s="34">
        <f t="shared" si="13"/>
        <v>898</v>
      </c>
      <c r="Q39" s="366">
        <f t="shared" si="14"/>
        <v>0.02395</v>
      </c>
      <c r="R39" s="35">
        <f t="shared" si="15"/>
        <v>503704</v>
      </c>
      <c r="S39" s="34">
        <f t="shared" si="16"/>
        <v>158</v>
      </c>
      <c r="T39" s="34">
        <f t="shared" si="17"/>
        <v>2157</v>
      </c>
      <c r="U39" s="126">
        <f t="shared" si="18"/>
        <v>8759</v>
      </c>
      <c r="V39" s="35">
        <f t="shared" si="19"/>
        <v>3188</v>
      </c>
      <c r="W39" s="35">
        <f t="shared" si="20"/>
        <v>27923692</v>
      </c>
      <c r="X39" s="38">
        <f>'Table 6 Local Wealth Factor'!L38</f>
        <v>0.91090629</v>
      </c>
      <c r="Y39" s="38">
        <f t="shared" si="21"/>
        <v>0.00902923</v>
      </c>
      <c r="Z39" s="38">
        <f t="shared" si="22"/>
        <v>0.00822478</v>
      </c>
      <c r="AA39" s="35">
        <f t="shared" si="46"/>
        <v>8902554</v>
      </c>
      <c r="AB39" s="39">
        <f t="shared" si="23"/>
        <v>0.3188</v>
      </c>
      <c r="AC39" s="524">
        <f t="shared" si="24"/>
        <v>19021138</v>
      </c>
      <c r="AD39" s="39">
        <f t="shared" si="25"/>
        <v>0.6812</v>
      </c>
      <c r="AE39" s="595">
        <f>'Table 7 Local Revenue'!AL38</f>
        <v>16881603</v>
      </c>
      <c r="AF39" s="35">
        <f t="shared" si="26"/>
        <v>7979049</v>
      </c>
      <c r="AG39" s="42">
        <f t="shared" si="27"/>
        <v>0</v>
      </c>
      <c r="AH39" s="35">
        <f t="shared" si="28"/>
        <v>9214818</v>
      </c>
      <c r="AI39" s="40">
        <f t="shared" si="29"/>
        <v>7979049</v>
      </c>
      <c r="AJ39" s="524">
        <f t="shared" si="30"/>
        <v>3618149</v>
      </c>
      <c r="AK39" s="39">
        <f t="shared" si="31"/>
        <v>0.45345617002728017</v>
      </c>
      <c r="AL39" s="35">
        <f t="shared" si="32"/>
        <v>560368</v>
      </c>
      <c r="AM39" s="35">
        <f t="shared" si="33"/>
        <v>11597198</v>
      </c>
      <c r="AN39" s="35">
        <f t="shared" si="34"/>
        <v>22639287</v>
      </c>
      <c r="AO39" s="35">
        <f t="shared" si="0"/>
        <v>3429.16</v>
      </c>
      <c r="AP39" s="35">
        <f>'Table 4 Level 3'!AE36</f>
        <v>-1372575</v>
      </c>
      <c r="AQ39" s="35">
        <f t="shared" si="35"/>
        <v>-207.9</v>
      </c>
      <c r="AR39" s="524">
        <f t="shared" si="36"/>
        <v>21266712</v>
      </c>
      <c r="AS39" s="35">
        <f>AR39-'Table 2 Distribution &amp; Adjusts'!K36</f>
        <v>1062028.7553688698</v>
      </c>
      <c r="AT39" s="524">
        <f t="shared" si="1"/>
        <v>3221.25</v>
      </c>
      <c r="AU39" s="34">
        <f t="shared" si="37"/>
        <v>50</v>
      </c>
      <c r="AV39" s="39">
        <f t="shared" si="2"/>
        <v>0.5575</v>
      </c>
      <c r="AW39" s="34">
        <f t="shared" si="38"/>
        <v>48</v>
      </c>
      <c r="AX39" s="35">
        <f t="shared" si="39"/>
        <v>16881603</v>
      </c>
      <c r="AY39" s="35">
        <f t="shared" si="3"/>
        <v>2557.04</v>
      </c>
      <c r="AZ39" s="34">
        <f t="shared" si="40"/>
        <v>20</v>
      </c>
      <c r="BA39" s="39">
        <f t="shared" si="41"/>
        <v>0.4425</v>
      </c>
      <c r="BB39" s="35">
        <f t="shared" si="4"/>
        <v>38148315</v>
      </c>
      <c r="BC39" s="35">
        <f t="shared" si="5"/>
        <v>5778.3</v>
      </c>
      <c r="BD39" s="34">
        <f t="shared" si="42"/>
        <v>30</v>
      </c>
      <c r="BE39" s="801">
        <v>33133.6930544826</v>
      </c>
      <c r="BF39" s="383">
        <f t="shared" si="43"/>
        <v>35193.6930544826</v>
      </c>
      <c r="BG39" s="519">
        <f t="shared" si="44"/>
        <v>25</v>
      </c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</row>
    <row r="40" spans="1:156" s="6" customFormat="1" ht="12.75">
      <c r="A40" s="666">
        <v>32</v>
      </c>
      <c r="B40" s="495" t="s">
        <v>37</v>
      </c>
      <c r="C40" s="495">
        <f>+'Table 8 Membership'!U40</f>
        <v>19928</v>
      </c>
      <c r="D40" s="495">
        <v>8007</v>
      </c>
      <c r="E40" s="469">
        <f t="shared" si="6"/>
        <v>4338868</v>
      </c>
      <c r="F40" s="667">
        <f t="shared" si="45"/>
        <v>1361</v>
      </c>
      <c r="G40" s="495">
        <f>+'[5]Sheet1'!C34</f>
        <v>4285</v>
      </c>
      <c r="H40" s="469">
        <f t="shared" si="7"/>
        <v>682232</v>
      </c>
      <c r="I40" s="495">
        <f t="shared" si="8"/>
        <v>214</v>
      </c>
      <c r="J40" s="495">
        <f>+'[8]A'!C39</f>
        <v>2134</v>
      </c>
      <c r="K40" s="469">
        <f t="shared" si="9"/>
        <v>10204788</v>
      </c>
      <c r="L40" s="495">
        <f t="shared" si="10"/>
        <v>3201</v>
      </c>
      <c r="M40" s="495">
        <f>+'[8]A'!D39</f>
        <v>309</v>
      </c>
      <c r="N40" s="35">
        <f t="shared" si="11"/>
        <v>589780</v>
      </c>
      <c r="O40" s="34">
        <f t="shared" si="12"/>
        <v>185</v>
      </c>
      <c r="P40" s="34">
        <f t="shared" si="13"/>
        <v>0</v>
      </c>
      <c r="Q40" s="366">
        <f t="shared" si="14"/>
        <v>0</v>
      </c>
      <c r="R40" s="35">
        <f t="shared" si="15"/>
        <v>0</v>
      </c>
      <c r="S40" s="34">
        <f t="shared" si="16"/>
        <v>0</v>
      </c>
      <c r="T40" s="34">
        <f t="shared" si="17"/>
        <v>4961</v>
      </c>
      <c r="U40" s="34">
        <f t="shared" si="18"/>
        <v>24889</v>
      </c>
      <c r="V40" s="35">
        <f t="shared" si="19"/>
        <v>3188</v>
      </c>
      <c r="W40" s="35">
        <f t="shared" si="20"/>
        <v>79346132</v>
      </c>
      <c r="X40" s="38">
        <f>'Table 6 Local Wealth Factor'!L39</f>
        <v>0.41786665</v>
      </c>
      <c r="Y40" s="38">
        <f t="shared" si="21"/>
        <v>0.02565686</v>
      </c>
      <c r="Z40" s="38">
        <f t="shared" si="22"/>
        <v>0.01072115</v>
      </c>
      <c r="AA40" s="35">
        <f t="shared" si="46"/>
        <v>11604641</v>
      </c>
      <c r="AB40" s="39">
        <f t="shared" si="23"/>
        <v>0.1463</v>
      </c>
      <c r="AC40" s="524">
        <f t="shared" si="24"/>
        <v>67741491</v>
      </c>
      <c r="AD40" s="39">
        <f t="shared" si="25"/>
        <v>0.8537</v>
      </c>
      <c r="AE40" s="595">
        <f>'Table 7 Local Revenue'!AL39</f>
        <v>25049862.5</v>
      </c>
      <c r="AF40" s="35">
        <f t="shared" si="26"/>
        <v>13445221.5</v>
      </c>
      <c r="AG40" s="42">
        <f t="shared" si="27"/>
        <v>0</v>
      </c>
      <c r="AH40" s="35">
        <f t="shared" si="28"/>
        <v>26184224</v>
      </c>
      <c r="AI40" s="40">
        <f t="shared" si="29"/>
        <v>13445221.5</v>
      </c>
      <c r="AJ40" s="524">
        <f t="shared" si="30"/>
        <v>10074236</v>
      </c>
      <c r="AK40" s="39">
        <f t="shared" si="31"/>
        <v>0.7492800323148265</v>
      </c>
      <c r="AL40" s="35">
        <f t="shared" si="32"/>
        <v>9545080</v>
      </c>
      <c r="AM40" s="35">
        <f t="shared" si="33"/>
        <v>23519457.5</v>
      </c>
      <c r="AN40" s="35">
        <f t="shared" si="34"/>
        <v>77815727</v>
      </c>
      <c r="AO40" s="35">
        <f t="shared" si="0"/>
        <v>3904.84</v>
      </c>
      <c r="AP40" s="35">
        <f>'Table 4 Level 3'!AE37</f>
        <v>-1254457</v>
      </c>
      <c r="AQ40" s="35">
        <f t="shared" si="35"/>
        <v>-62.95</v>
      </c>
      <c r="AR40" s="524">
        <f t="shared" si="36"/>
        <v>76561270</v>
      </c>
      <c r="AS40" s="35">
        <f>AR40-'Table 2 Distribution &amp; Adjusts'!K37</f>
        <v>3727862.415713683</v>
      </c>
      <c r="AT40" s="524">
        <f t="shared" si="1"/>
        <v>3841.89</v>
      </c>
      <c r="AU40" s="34">
        <f t="shared" si="37"/>
        <v>27</v>
      </c>
      <c r="AV40" s="39">
        <f t="shared" si="2"/>
        <v>0.7535</v>
      </c>
      <c r="AW40" s="34">
        <f t="shared" si="38"/>
        <v>14</v>
      </c>
      <c r="AX40" s="35">
        <f t="shared" si="39"/>
        <v>25049862.5</v>
      </c>
      <c r="AY40" s="35">
        <f t="shared" si="3"/>
        <v>1257.02</v>
      </c>
      <c r="AZ40" s="34">
        <f t="shared" si="40"/>
        <v>53</v>
      </c>
      <c r="BA40" s="39">
        <f t="shared" si="41"/>
        <v>0.2465</v>
      </c>
      <c r="BB40" s="35">
        <f t="shared" si="4"/>
        <v>101611132.5</v>
      </c>
      <c r="BC40" s="35">
        <f t="shared" si="5"/>
        <v>5098.91</v>
      </c>
      <c r="BD40" s="34">
        <f t="shared" si="42"/>
        <v>57</v>
      </c>
      <c r="BE40" s="801">
        <v>34290.2796960783</v>
      </c>
      <c r="BF40" s="383">
        <f t="shared" si="43"/>
        <v>36350.2796960783</v>
      </c>
      <c r="BG40" s="519">
        <f t="shared" si="44"/>
        <v>14</v>
      </c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</row>
    <row r="41" spans="1:156" s="6" customFormat="1" ht="12.75">
      <c r="A41" s="666">
        <v>33</v>
      </c>
      <c r="B41" s="495" t="s">
        <v>38</v>
      </c>
      <c r="C41" s="495">
        <f>+'Table 8 Membership'!U41</f>
        <v>2365</v>
      </c>
      <c r="D41" s="495">
        <v>1979</v>
      </c>
      <c r="E41" s="469">
        <f t="shared" si="6"/>
        <v>1071168</v>
      </c>
      <c r="F41" s="667">
        <f t="shared" si="45"/>
        <v>336</v>
      </c>
      <c r="G41" s="495">
        <f>+'[5]Sheet1'!C35</f>
        <v>495</v>
      </c>
      <c r="H41" s="469">
        <f t="shared" si="7"/>
        <v>79700</v>
      </c>
      <c r="I41" s="495">
        <f t="shared" si="8"/>
        <v>25</v>
      </c>
      <c r="J41" s="495">
        <f>+'[8]A'!C40</f>
        <v>269</v>
      </c>
      <c r="K41" s="469">
        <f t="shared" si="9"/>
        <v>1287952</v>
      </c>
      <c r="L41" s="495">
        <f t="shared" si="10"/>
        <v>404</v>
      </c>
      <c r="M41" s="495">
        <f>+'[8]A'!D40</f>
        <v>16</v>
      </c>
      <c r="N41" s="35">
        <f t="shared" si="11"/>
        <v>31880</v>
      </c>
      <c r="O41" s="34">
        <f t="shared" si="12"/>
        <v>10</v>
      </c>
      <c r="P41" s="34">
        <f t="shared" si="13"/>
        <v>5135</v>
      </c>
      <c r="Q41" s="366">
        <f t="shared" si="14"/>
        <v>0.13693</v>
      </c>
      <c r="R41" s="35">
        <f t="shared" si="15"/>
        <v>1032912</v>
      </c>
      <c r="S41" s="34">
        <f t="shared" si="16"/>
        <v>324</v>
      </c>
      <c r="T41" s="34">
        <f t="shared" si="17"/>
        <v>1099</v>
      </c>
      <c r="U41" s="34">
        <f t="shared" si="18"/>
        <v>3464</v>
      </c>
      <c r="V41" s="35">
        <f t="shared" si="19"/>
        <v>3188</v>
      </c>
      <c r="W41" s="35">
        <f t="shared" si="20"/>
        <v>11043232</v>
      </c>
      <c r="X41" s="38">
        <f>'Table 6 Local Wealth Factor'!L40</f>
        <v>0.53975055</v>
      </c>
      <c r="Y41" s="38">
        <f t="shared" si="21"/>
        <v>0.00357087</v>
      </c>
      <c r="Z41" s="38">
        <f t="shared" si="22"/>
        <v>0.00192738</v>
      </c>
      <c r="AA41" s="35">
        <f t="shared" si="46"/>
        <v>2086208</v>
      </c>
      <c r="AB41" s="39">
        <f t="shared" si="23"/>
        <v>0.1889</v>
      </c>
      <c r="AC41" s="524">
        <f t="shared" si="24"/>
        <v>8957024</v>
      </c>
      <c r="AD41" s="39">
        <f t="shared" si="25"/>
        <v>0.8111</v>
      </c>
      <c r="AE41" s="595">
        <f>'Table 7 Local Revenue'!AL40</f>
        <v>1819150.5</v>
      </c>
      <c r="AF41" s="35">
        <f t="shared" si="26"/>
        <v>0</v>
      </c>
      <c r="AG41" s="42">
        <f t="shared" si="27"/>
        <v>-267057.5</v>
      </c>
      <c r="AH41" s="35">
        <f t="shared" si="28"/>
        <v>3644267</v>
      </c>
      <c r="AI41" s="40">
        <f t="shared" si="29"/>
        <v>0</v>
      </c>
      <c r="AJ41" s="524">
        <f t="shared" si="30"/>
        <v>0</v>
      </c>
      <c r="AK41" s="39">
        <f t="shared" si="31"/>
        <v>0</v>
      </c>
      <c r="AL41" s="35">
        <f t="shared" si="32"/>
        <v>2464070</v>
      </c>
      <c r="AM41" s="35">
        <f t="shared" si="33"/>
        <v>0</v>
      </c>
      <c r="AN41" s="35">
        <f t="shared" si="34"/>
        <v>8957024</v>
      </c>
      <c r="AO41" s="35">
        <f aca="true" t="shared" si="47" ref="AO41:AO72">ROUND(AN41/C41,2)</f>
        <v>3787.33</v>
      </c>
      <c r="AP41" s="35">
        <f>'Table 4 Level 3'!AE38</f>
        <v>395986</v>
      </c>
      <c r="AQ41" s="35">
        <f t="shared" si="35"/>
        <v>167.44</v>
      </c>
      <c r="AR41" s="524">
        <f t="shared" si="36"/>
        <v>9353010</v>
      </c>
      <c r="AS41" s="35">
        <f>AR41-'Table 2 Distribution &amp; Adjusts'!K38</f>
        <v>269893.6573391706</v>
      </c>
      <c r="AT41" s="524">
        <f aca="true" t="shared" si="48" ref="AT41:AT74">ROUND(AR41/C41,2)</f>
        <v>3954.76</v>
      </c>
      <c r="AU41" s="34">
        <f t="shared" si="37"/>
        <v>21</v>
      </c>
      <c r="AV41" s="39">
        <f aca="true" t="shared" si="49" ref="AV41:AV74">ROUND(AR41/BB41,4)</f>
        <v>0.8176</v>
      </c>
      <c r="AW41" s="34">
        <f t="shared" si="38"/>
        <v>3</v>
      </c>
      <c r="AX41" s="35">
        <f t="shared" si="39"/>
        <v>2086208</v>
      </c>
      <c r="AY41" s="35">
        <f aca="true" t="shared" si="50" ref="AY41:AY72">ROUND(AX41/C41,2)</f>
        <v>882.12</v>
      </c>
      <c r="AZ41" s="34">
        <f t="shared" si="40"/>
        <v>64</v>
      </c>
      <c r="BA41" s="39">
        <f t="shared" si="41"/>
        <v>0.1824</v>
      </c>
      <c r="BB41" s="35">
        <f aca="true" t="shared" si="51" ref="BB41:BB74">ROUND(AR41+AX41,2)</f>
        <v>11439218</v>
      </c>
      <c r="BC41" s="35">
        <f aca="true" t="shared" si="52" ref="BC41:BC72">ROUND(BB41/C41,2)</f>
        <v>4836.88</v>
      </c>
      <c r="BD41" s="34">
        <f t="shared" si="42"/>
        <v>60</v>
      </c>
      <c r="BE41" s="801">
        <v>28053.9235379688</v>
      </c>
      <c r="BF41" s="383">
        <f t="shared" si="43"/>
        <v>30113.9235379688</v>
      </c>
      <c r="BG41" s="519">
        <f t="shared" si="44"/>
        <v>63</v>
      </c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</row>
    <row r="42" spans="1:156" s="6" customFormat="1" ht="12.75">
      <c r="A42" s="666">
        <v>34</v>
      </c>
      <c r="B42" s="495" t="s">
        <v>39</v>
      </c>
      <c r="C42" s="495">
        <f>+'Table 8 Membership'!U42</f>
        <v>5171</v>
      </c>
      <c r="D42" s="495">
        <v>3724</v>
      </c>
      <c r="E42" s="469">
        <f t="shared" si="6"/>
        <v>2018004</v>
      </c>
      <c r="F42" s="667">
        <f t="shared" si="45"/>
        <v>633</v>
      </c>
      <c r="G42" s="495">
        <f>+'[5]Sheet1'!C36</f>
        <v>1168</v>
      </c>
      <c r="H42" s="469">
        <f t="shared" si="7"/>
        <v>184904</v>
      </c>
      <c r="I42" s="495">
        <f t="shared" si="8"/>
        <v>58</v>
      </c>
      <c r="J42" s="495">
        <f>+'[8]A'!C41</f>
        <v>856</v>
      </c>
      <c r="K42" s="469">
        <f t="shared" si="9"/>
        <v>4093392</v>
      </c>
      <c r="L42" s="495">
        <f t="shared" si="10"/>
        <v>1284</v>
      </c>
      <c r="M42" s="495">
        <f>+'[8]A'!D41</f>
        <v>52</v>
      </c>
      <c r="N42" s="35">
        <f t="shared" si="11"/>
        <v>98828</v>
      </c>
      <c r="O42" s="34">
        <f t="shared" si="12"/>
        <v>31</v>
      </c>
      <c r="P42" s="34">
        <f t="shared" si="13"/>
        <v>2329</v>
      </c>
      <c r="Q42" s="366">
        <f t="shared" si="14"/>
        <v>0.06211</v>
      </c>
      <c r="R42" s="35">
        <f t="shared" si="15"/>
        <v>1023348</v>
      </c>
      <c r="S42" s="34">
        <f t="shared" si="16"/>
        <v>321</v>
      </c>
      <c r="T42" s="34">
        <f t="shared" si="17"/>
        <v>2327</v>
      </c>
      <c r="U42" s="34">
        <f t="shared" si="18"/>
        <v>7498</v>
      </c>
      <c r="V42" s="35">
        <f t="shared" si="19"/>
        <v>3188</v>
      </c>
      <c r="W42" s="35">
        <f t="shared" si="20"/>
        <v>23903624</v>
      </c>
      <c r="X42" s="38">
        <f>'Table 6 Local Wealth Factor'!L41</f>
        <v>0.69170255</v>
      </c>
      <c r="Y42" s="38">
        <f t="shared" si="21"/>
        <v>0.00772932</v>
      </c>
      <c r="Z42" s="38">
        <f t="shared" si="22"/>
        <v>0.00534639</v>
      </c>
      <c r="AA42" s="35">
        <f t="shared" si="46"/>
        <v>5786966</v>
      </c>
      <c r="AB42" s="39">
        <f t="shared" si="23"/>
        <v>0.2421</v>
      </c>
      <c r="AC42" s="524">
        <f t="shared" si="24"/>
        <v>18116658</v>
      </c>
      <c r="AD42" s="39">
        <f t="shared" si="25"/>
        <v>0.7579</v>
      </c>
      <c r="AE42" s="595">
        <f>'Table 7 Local Revenue'!AL41</f>
        <v>7196947.5</v>
      </c>
      <c r="AF42" s="35">
        <f t="shared" si="26"/>
        <v>1409981.5</v>
      </c>
      <c r="AG42" s="42">
        <f t="shared" si="27"/>
        <v>0</v>
      </c>
      <c r="AH42" s="35">
        <f t="shared" si="28"/>
        <v>7888196</v>
      </c>
      <c r="AI42" s="40">
        <f t="shared" si="29"/>
        <v>1409981.5</v>
      </c>
      <c r="AJ42" s="524">
        <f t="shared" si="30"/>
        <v>824809</v>
      </c>
      <c r="AK42" s="39">
        <f t="shared" si="31"/>
        <v>0.5849785972369141</v>
      </c>
      <c r="AL42" s="35">
        <f t="shared" si="32"/>
        <v>3789616</v>
      </c>
      <c r="AM42" s="35">
        <f t="shared" si="33"/>
        <v>2234790.5</v>
      </c>
      <c r="AN42" s="35">
        <f t="shared" si="34"/>
        <v>18941467</v>
      </c>
      <c r="AO42" s="35">
        <f t="shared" si="47"/>
        <v>3663.02</v>
      </c>
      <c r="AP42" s="35">
        <f>'Table 4 Level 3'!AE39</f>
        <v>435077</v>
      </c>
      <c r="AQ42" s="35">
        <f t="shared" si="35"/>
        <v>84.14</v>
      </c>
      <c r="AR42" s="524">
        <f t="shared" si="36"/>
        <v>19376544</v>
      </c>
      <c r="AS42" s="35">
        <f>AR42-'Table 2 Distribution &amp; Adjusts'!K39</f>
        <v>847475.0765988156</v>
      </c>
      <c r="AT42" s="524">
        <f t="shared" si="48"/>
        <v>3747.16</v>
      </c>
      <c r="AU42" s="34">
        <f t="shared" si="37"/>
        <v>33</v>
      </c>
      <c r="AV42" s="39">
        <f t="shared" si="49"/>
        <v>0.7292</v>
      </c>
      <c r="AW42" s="34">
        <f t="shared" si="38"/>
        <v>21</v>
      </c>
      <c r="AX42" s="35">
        <f t="shared" si="39"/>
        <v>7196947.5</v>
      </c>
      <c r="AY42" s="35">
        <f t="shared" si="50"/>
        <v>1391.79</v>
      </c>
      <c r="AZ42" s="34">
        <f t="shared" si="40"/>
        <v>51</v>
      </c>
      <c r="BA42" s="39">
        <f t="shared" si="41"/>
        <v>0.2708</v>
      </c>
      <c r="BB42" s="35">
        <f t="shared" si="51"/>
        <v>26573491.5</v>
      </c>
      <c r="BC42" s="35">
        <f t="shared" si="52"/>
        <v>5138.95</v>
      </c>
      <c r="BD42" s="34">
        <f t="shared" si="42"/>
        <v>55</v>
      </c>
      <c r="BE42" s="801">
        <v>27656.9510335075</v>
      </c>
      <c r="BF42" s="383">
        <f t="shared" si="43"/>
        <v>29716.9510335075</v>
      </c>
      <c r="BG42" s="519">
        <f t="shared" si="44"/>
        <v>64</v>
      </c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</row>
    <row r="43" spans="1:156" s="54" customFormat="1" ht="12.75">
      <c r="A43" s="668">
        <v>35</v>
      </c>
      <c r="B43" s="498" t="s">
        <v>40</v>
      </c>
      <c r="C43" s="498">
        <f>+'Table 8 Membership'!U43</f>
        <v>6671</v>
      </c>
      <c r="D43" s="498">
        <v>4470</v>
      </c>
      <c r="E43" s="472">
        <f t="shared" si="6"/>
        <v>2422880</v>
      </c>
      <c r="F43" s="669">
        <f t="shared" si="45"/>
        <v>760</v>
      </c>
      <c r="G43" s="498">
        <f>+'[5]Sheet1'!C37</f>
        <v>2018</v>
      </c>
      <c r="H43" s="472">
        <f t="shared" si="7"/>
        <v>321988</v>
      </c>
      <c r="I43" s="498">
        <f t="shared" si="8"/>
        <v>101</v>
      </c>
      <c r="J43" s="495">
        <f>+'[8]A'!C42</f>
        <v>840</v>
      </c>
      <c r="K43" s="472">
        <f t="shared" si="9"/>
        <v>4016880</v>
      </c>
      <c r="L43" s="498">
        <f t="shared" si="10"/>
        <v>1260</v>
      </c>
      <c r="M43" s="495">
        <f>+'[8]A'!D42</f>
        <v>269</v>
      </c>
      <c r="N43" s="49">
        <f t="shared" si="11"/>
        <v>513268</v>
      </c>
      <c r="O43" s="48">
        <f t="shared" si="12"/>
        <v>161</v>
      </c>
      <c r="P43" s="48">
        <f t="shared" si="13"/>
        <v>829</v>
      </c>
      <c r="Q43" s="367">
        <f t="shared" si="14"/>
        <v>0.02211</v>
      </c>
      <c r="R43" s="49">
        <f t="shared" si="15"/>
        <v>468636</v>
      </c>
      <c r="S43" s="48">
        <f t="shared" si="16"/>
        <v>147</v>
      </c>
      <c r="T43" s="48">
        <f t="shared" si="17"/>
        <v>2429</v>
      </c>
      <c r="U43" s="34">
        <f t="shared" si="18"/>
        <v>9100</v>
      </c>
      <c r="V43" s="49">
        <f t="shared" si="19"/>
        <v>3188</v>
      </c>
      <c r="W43" s="49">
        <f t="shared" si="20"/>
        <v>29010800</v>
      </c>
      <c r="X43" s="51">
        <f>'Table 6 Local Wealth Factor'!L42</f>
        <v>0.76162737</v>
      </c>
      <c r="Y43" s="51">
        <f t="shared" si="21"/>
        <v>0.00938075</v>
      </c>
      <c r="Z43" s="51">
        <f t="shared" si="22"/>
        <v>0.00714464</v>
      </c>
      <c r="AA43" s="49">
        <f t="shared" si="46"/>
        <v>7733404</v>
      </c>
      <c r="AB43" s="52">
        <f t="shared" si="23"/>
        <v>0.2666</v>
      </c>
      <c r="AC43" s="525">
        <f t="shared" si="24"/>
        <v>21277396</v>
      </c>
      <c r="AD43" s="52">
        <f t="shared" si="25"/>
        <v>0.7334</v>
      </c>
      <c r="AE43" s="596">
        <f>'Table 7 Local Revenue'!AL42</f>
        <v>12166608.5</v>
      </c>
      <c r="AF43" s="49">
        <f t="shared" si="26"/>
        <v>4433204.5</v>
      </c>
      <c r="AG43" s="61">
        <f t="shared" si="27"/>
        <v>0</v>
      </c>
      <c r="AH43" s="49">
        <f t="shared" si="28"/>
        <v>9573564</v>
      </c>
      <c r="AI43" s="53">
        <f t="shared" si="29"/>
        <v>4433204.5</v>
      </c>
      <c r="AJ43" s="525">
        <f t="shared" si="30"/>
        <v>2407335</v>
      </c>
      <c r="AK43" s="52">
        <f t="shared" si="31"/>
        <v>0.5430236750864978</v>
      </c>
      <c r="AL43" s="49">
        <f t="shared" si="32"/>
        <v>2791336</v>
      </c>
      <c r="AM43" s="49">
        <f t="shared" si="33"/>
        <v>6840539.5</v>
      </c>
      <c r="AN43" s="49">
        <f t="shared" si="34"/>
        <v>23684731</v>
      </c>
      <c r="AO43" s="49">
        <f t="shared" si="47"/>
        <v>3550.4</v>
      </c>
      <c r="AP43" s="49">
        <f>'Table 4 Level 3'!AE40</f>
        <v>423381</v>
      </c>
      <c r="AQ43" s="49">
        <f t="shared" si="35"/>
        <v>63.47</v>
      </c>
      <c r="AR43" s="525">
        <f t="shared" si="36"/>
        <v>24108112</v>
      </c>
      <c r="AS43" s="49">
        <f>AR43-'Table 2 Distribution &amp; Adjusts'!K40</f>
        <v>1035756.669888325</v>
      </c>
      <c r="AT43" s="525">
        <f t="shared" si="48"/>
        <v>3613.87</v>
      </c>
      <c r="AU43" s="48">
        <f t="shared" si="37"/>
        <v>38</v>
      </c>
      <c r="AV43" s="52">
        <f t="shared" si="49"/>
        <v>0.6646</v>
      </c>
      <c r="AW43" s="48">
        <f t="shared" si="38"/>
        <v>33</v>
      </c>
      <c r="AX43" s="49">
        <f t="shared" si="39"/>
        <v>12166608.5</v>
      </c>
      <c r="AY43" s="49">
        <f t="shared" si="50"/>
        <v>1823.81</v>
      </c>
      <c r="AZ43" s="48">
        <f t="shared" si="40"/>
        <v>39</v>
      </c>
      <c r="BA43" s="52">
        <f t="shared" si="41"/>
        <v>0.3354</v>
      </c>
      <c r="BB43" s="49">
        <f t="shared" si="51"/>
        <v>36274720.5</v>
      </c>
      <c r="BC43" s="49">
        <f t="shared" si="52"/>
        <v>5437.67</v>
      </c>
      <c r="BD43" s="48">
        <f t="shared" si="42"/>
        <v>47</v>
      </c>
      <c r="BE43" s="802">
        <v>33383.2736623222</v>
      </c>
      <c r="BF43" s="384">
        <f t="shared" si="43"/>
        <v>35443.2736623222</v>
      </c>
      <c r="BG43" s="520">
        <f t="shared" si="44"/>
        <v>21</v>
      </c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</row>
    <row r="44" spans="1:156" s="6" customFormat="1" ht="12.75">
      <c r="A44" s="666">
        <v>36</v>
      </c>
      <c r="B44" s="495" t="s">
        <v>41</v>
      </c>
      <c r="C44" s="495">
        <f>+'Table 8 Membership'!U44</f>
        <v>71262</v>
      </c>
      <c r="D44" s="495">
        <v>54806</v>
      </c>
      <c r="E44" s="469">
        <f t="shared" si="6"/>
        <v>29702596</v>
      </c>
      <c r="F44" s="667">
        <f t="shared" si="45"/>
        <v>9317</v>
      </c>
      <c r="G44" s="495">
        <f>+'[5]Sheet1'!C38</f>
        <v>12413</v>
      </c>
      <c r="H44" s="469">
        <f t="shared" si="7"/>
        <v>1979748</v>
      </c>
      <c r="I44" s="495">
        <f t="shared" si="8"/>
        <v>621</v>
      </c>
      <c r="J44" s="495">
        <f>+'[8]A'!C43</f>
        <v>7260</v>
      </c>
      <c r="K44" s="469">
        <f t="shared" si="9"/>
        <v>34717320</v>
      </c>
      <c r="L44" s="495">
        <f t="shared" si="10"/>
        <v>10890</v>
      </c>
      <c r="M44" s="495">
        <f>+'[8]A'!D43</f>
        <v>4479</v>
      </c>
      <c r="N44" s="35">
        <f t="shared" si="11"/>
        <v>8566156</v>
      </c>
      <c r="O44" s="34">
        <f t="shared" si="12"/>
        <v>2687</v>
      </c>
      <c r="P44" s="34">
        <f t="shared" si="13"/>
        <v>0</v>
      </c>
      <c r="Q44" s="366">
        <f t="shared" si="14"/>
        <v>0</v>
      </c>
      <c r="R44" s="35">
        <f t="shared" si="15"/>
        <v>0</v>
      </c>
      <c r="S44" s="34">
        <f t="shared" si="16"/>
        <v>0</v>
      </c>
      <c r="T44" s="34">
        <f t="shared" si="17"/>
        <v>23515</v>
      </c>
      <c r="U44" s="126">
        <f t="shared" si="18"/>
        <v>94777</v>
      </c>
      <c r="V44" s="35">
        <f t="shared" si="19"/>
        <v>3188</v>
      </c>
      <c r="W44" s="35">
        <f t="shared" si="20"/>
        <v>302149076</v>
      </c>
      <c r="X44" s="38">
        <f>'Table 6 Local Wealth Factor'!L43</f>
        <v>1.0688251</v>
      </c>
      <c r="Y44" s="38">
        <f t="shared" si="21"/>
        <v>0.097701</v>
      </c>
      <c r="Z44" s="38">
        <f t="shared" si="22"/>
        <v>0.10442528</v>
      </c>
      <c r="AA44" s="35">
        <f t="shared" si="46"/>
        <v>113030585</v>
      </c>
      <c r="AB44" s="39">
        <f t="shared" si="23"/>
        <v>0.3741</v>
      </c>
      <c r="AC44" s="524">
        <f t="shared" si="24"/>
        <v>189118491</v>
      </c>
      <c r="AD44" s="39">
        <f t="shared" si="25"/>
        <v>0.6259</v>
      </c>
      <c r="AE44" s="595">
        <f>'Table 7 Local Revenue'!AL43</f>
        <v>179970607</v>
      </c>
      <c r="AF44" s="35">
        <f t="shared" si="26"/>
        <v>66940022</v>
      </c>
      <c r="AG44" s="42">
        <f t="shared" si="27"/>
        <v>0</v>
      </c>
      <c r="AH44" s="35">
        <f t="shared" si="28"/>
        <v>99709195</v>
      </c>
      <c r="AI44" s="40">
        <f t="shared" si="29"/>
        <v>66940022</v>
      </c>
      <c r="AJ44" s="524">
        <f t="shared" si="30"/>
        <v>24011717</v>
      </c>
      <c r="AK44" s="39">
        <f t="shared" si="31"/>
        <v>0.3587049463473436</v>
      </c>
      <c r="AL44" s="35">
        <f t="shared" si="32"/>
        <v>11754464</v>
      </c>
      <c r="AM44" s="35">
        <f t="shared" si="33"/>
        <v>90951739</v>
      </c>
      <c r="AN44" s="35">
        <f t="shared" si="34"/>
        <v>213130208</v>
      </c>
      <c r="AO44" s="35">
        <f t="shared" si="47"/>
        <v>2990.8</v>
      </c>
      <c r="AP44" s="35">
        <f>'Table 4 Level 3'!AE41</f>
        <v>11075167</v>
      </c>
      <c r="AQ44" s="35">
        <f t="shared" si="35"/>
        <v>155.41</v>
      </c>
      <c r="AR44" s="524">
        <f t="shared" si="36"/>
        <v>224205375</v>
      </c>
      <c r="AS44" s="35">
        <f>AR44-'Table 2 Distribution &amp; Adjusts'!K41</f>
        <v>5238638.022045195</v>
      </c>
      <c r="AT44" s="524">
        <f t="shared" si="48"/>
        <v>3146.21</v>
      </c>
      <c r="AU44" s="34">
        <f t="shared" si="37"/>
        <v>53</v>
      </c>
      <c r="AV44" s="39">
        <f t="shared" si="49"/>
        <v>0.5547</v>
      </c>
      <c r="AW44" s="34">
        <f t="shared" si="38"/>
        <v>49</v>
      </c>
      <c r="AX44" s="35">
        <f t="shared" si="39"/>
        <v>179970607</v>
      </c>
      <c r="AY44" s="35">
        <f t="shared" si="50"/>
        <v>2525.48</v>
      </c>
      <c r="AZ44" s="34">
        <f t="shared" si="40"/>
        <v>21</v>
      </c>
      <c r="BA44" s="39">
        <f t="shared" si="41"/>
        <v>0.4453</v>
      </c>
      <c r="BB44" s="35">
        <f t="shared" si="51"/>
        <v>404175982</v>
      </c>
      <c r="BC44" s="35">
        <f t="shared" si="52"/>
        <v>5671.69</v>
      </c>
      <c r="BD44" s="34">
        <f t="shared" si="42"/>
        <v>37</v>
      </c>
      <c r="BE44" s="801">
        <v>35035.8175254523</v>
      </c>
      <c r="BF44" s="383">
        <f t="shared" si="43"/>
        <v>37095.8175254523</v>
      </c>
      <c r="BG44" s="519">
        <f t="shared" si="44"/>
        <v>9</v>
      </c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</row>
    <row r="45" spans="1:156" s="6" customFormat="1" ht="12.75">
      <c r="A45" s="666">
        <v>37</v>
      </c>
      <c r="B45" s="495" t="s">
        <v>42</v>
      </c>
      <c r="C45" s="495">
        <f>+'Table 8 Membership'!U45</f>
        <v>17645</v>
      </c>
      <c r="D45" s="495">
        <v>7692</v>
      </c>
      <c r="E45" s="469">
        <f t="shared" si="6"/>
        <v>4169904</v>
      </c>
      <c r="F45" s="667">
        <f t="shared" si="45"/>
        <v>1308</v>
      </c>
      <c r="G45" s="495">
        <f>+'[5]Sheet1'!C39</f>
        <v>3482</v>
      </c>
      <c r="H45" s="469">
        <f t="shared" si="7"/>
        <v>554712</v>
      </c>
      <c r="I45" s="495">
        <f t="shared" si="8"/>
        <v>174</v>
      </c>
      <c r="J45" s="495">
        <f>+'[8]A'!C44</f>
        <v>2069</v>
      </c>
      <c r="K45" s="469">
        <f t="shared" si="9"/>
        <v>9895552</v>
      </c>
      <c r="L45" s="495">
        <f t="shared" si="10"/>
        <v>3104</v>
      </c>
      <c r="M45" s="495">
        <f>+'[8]A'!D44</f>
        <v>1176</v>
      </c>
      <c r="N45" s="35">
        <f t="shared" si="11"/>
        <v>2250728</v>
      </c>
      <c r="O45" s="34">
        <f t="shared" si="12"/>
        <v>706</v>
      </c>
      <c r="P45" s="34">
        <f t="shared" si="13"/>
        <v>0</v>
      </c>
      <c r="Q45" s="366">
        <f t="shared" si="14"/>
        <v>0</v>
      </c>
      <c r="R45" s="35">
        <f t="shared" si="15"/>
        <v>0</v>
      </c>
      <c r="S45" s="34">
        <f t="shared" si="16"/>
        <v>0</v>
      </c>
      <c r="T45" s="34">
        <f t="shared" si="17"/>
        <v>5292</v>
      </c>
      <c r="U45" s="34">
        <f t="shared" si="18"/>
        <v>22937</v>
      </c>
      <c r="V45" s="35">
        <f t="shared" si="19"/>
        <v>3188</v>
      </c>
      <c r="W45" s="35">
        <f t="shared" si="20"/>
        <v>73123156</v>
      </c>
      <c r="X45" s="38">
        <f>'Table 6 Local Wealth Factor'!L44</f>
        <v>0.6964172</v>
      </c>
      <c r="Y45" s="38">
        <f t="shared" si="21"/>
        <v>0.02364464</v>
      </c>
      <c r="Z45" s="38">
        <f t="shared" si="22"/>
        <v>0.01646653</v>
      </c>
      <c r="AA45" s="35">
        <f t="shared" si="46"/>
        <v>17823476</v>
      </c>
      <c r="AB45" s="39">
        <f t="shared" si="23"/>
        <v>0.2437</v>
      </c>
      <c r="AC45" s="524">
        <f t="shared" si="24"/>
        <v>55299680</v>
      </c>
      <c r="AD45" s="39">
        <f t="shared" si="25"/>
        <v>0.7563</v>
      </c>
      <c r="AE45" s="595">
        <f>'Table 7 Local Revenue'!AL44</f>
        <v>42755583</v>
      </c>
      <c r="AF45" s="35">
        <f t="shared" si="26"/>
        <v>24932107</v>
      </c>
      <c r="AG45" s="42">
        <f t="shared" si="27"/>
        <v>0</v>
      </c>
      <c r="AH45" s="35">
        <f t="shared" si="28"/>
        <v>24130641</v>
      </c>
      <c r="AI45" s="40">
        <f t="shared" si="29"/>
        <v>24130641</v>
      </c>
      <c r="AJ45" s="524">
        <f t="shared" si="30"/>
        <v>14047645</v>
      </c>
      <c r="AK45" s="39">
        <f t="shared" si="31"/>
        <v>0.5821496826379374</v>
      </c>
      <c r="AL45" s="35">
        <f t="shared" si="32"/>
        <v>0</v>
      </c>
      <c r="AM45" s="35">
        <f t="shared" si="33"/>
        <v>38178286</v>
      </c>
      <c r="AN45" s="35">
        <f t="shared" si="34"/>
        <v>69347325</v>
      </c>
      <c r="AO45" s="35">
        <f t="shared" si="47"/>
        <v>3930.14</v>
      </c>
      <c r="AP45" s="35">
        <f>'Table 4 Level 3'!AE42</f>
        <v>-611342</v>
      </c>
      <c r="AQ45" s="35">
        <f t="shared" si="35"/>
        <v>-34.65</v>
      </c>
      <c r="AR45" s="524">
        <f t="shared" si="36"/>
        <v>68735983</v>
      </c>
      <c r="AS45" s="35">
        <f>AR45-'Table 2 Distribution &amp; Adjusts'!K42</f>
        <v>3975587.8099401295</v>
      </c>
      <c r="AT45" s="524">
        <f t="shared" si="48"/>
        <v>3895.49</v>
      </c>
      <c r="AU45" s="34">
        <f t="shared" si="37"/>
        <v>22</v>
      </c>
      <c r="AV45" s="39">
        <f t="shared" si="49"/>
        <v>0.621</v>
      </c>
      <c r="AW45" s="34">
        <f t="shared" si="38"/>
        <v>41</v>
      </c>
      <c r="AX45" s="35">
        <f t="shared" si="39"/>
        <v>41954117</v>
      </c>
      <c r="AY45" s="35">
        <f t="shared" si="50"/>
        <v>2377.68</v>
      </c>
      <c r="AZ45" s="34">
        <f t="shared" si="40"/>
        <v>24</v>
      </c>
      <c r="BA45" s="39">
        <f t="shared" si="41"/>
        <v>0.379</v>
      </c>
      <c r="BB45" s="35">
        <f t="shared" si="51"/>
        <v>110690100</v>
      </c>
      <c r="BC45" s="35">
        <f t="shared" si="52"/>
        <v>6273.17</v>
      </c>
      <c r="BD45" s="34">
        <f t="shared" si="42"/>
        <v>16</v>
      </c>
      <c r="BE45" s="801">
        <v>34843.4845781981</v>
      </c>
      <c r="BF45" s="383">
        <f t="shared" si="43"/>
        <v>36903.4845781981</v>
      </c>
      <c r="BG45" s="519">
        <f t="shared" si="44"/>
        <v>10</v>
      </c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</row>
    <row r="46" spans="1:156" s="6" customFormat="1" ht="12.75">
      <c r="A46" s="666">
        <v>38</v>
      </c>
      <c r="B46" s="495" t="s">
        <v>43</v>
      </c>
      <c r="C46" s="495">
        <f>+'Table 8 Membership'!U46</f>
        <v>4720</v>
      </c>
      <c r="D46" s="495">
        <v>2890</v>
      </c>
      <c r="E46" s="469">
        <f t="shared" si="6"/>
        <v>1565308</v>
      </c>
      <c r="F46" s="667">
        <f t="shared" si="45"/>
        <v>491</v>
      </c>
      <c r="G46" s="495">
        <f>+'[5]Sheet1'!C40</f>
        <v>1085</v>
      </c>
      <c r="H46" s="469">
        <f t="shared" si="7"/>
        <v>172152</v>
      </c>
      <c r="I46" s="495">
        <f t="shared" si="8"/>
        <v>54</v>
      </c>
      <c r="J46" s="495">
        <f>+'[8]A'!C45</f>
        <v>570</v>
      </c>
      <c r="K46" s="469">
        <f t="shared" si="9"/>
        <v>2725740</v>
      </c>
      <c r="L46" s="495">
        <f t="shared" si="10"/>
        <v>855</v>
      </c>
      <c r="M46" s="495">
        <f>+'[8]A'!D45</f>
        <v>175</v>
      </c>
      <c r="N46" s="35">
        <f t="shared" si="11"/>
        <v>334740</v>
      </c>
      <c r="O46" s="34">
        <f t="shared" si="12"/>
        <v>105</v>
      </c>
      <c r="P46" s="34">
        <f t="shared" si="13"/>
        <v>2780</v>
      </c>
      <c r="Q46" s="366">
        <f t="shared" si="14"/>
        <v>0.07413</v>
      </c>
      <c r="R46" s="35">
        <f t="shared" si="15"/>
        <v>1115800</v>
      </c>
      <c r="S46" s="34">
        <f t="shared" si="16"/>
        <v>350</v>
      </c>
      <c r="T46" s="34">
        <f t="shared" si="17"/>
        <v>1855</v>
      </c>
      <c r="U46" s="34">
        <f t="shared" si="18"/>
        <v>6575</v>
      </c>
      <c r="V46" s="35">
        <f t="shared" si="19"/>
        <v>3188</v>
      </c>
      <c r="W46" s="35">
        <f t="shared" si="20"/>
        <v>20961100</v>
      </c>
      <c r="X46" s="38">
        <f>'Table 6 Local Wealth Factor'!L45</f>
        <v>2.42299505</v>
      </c>
      <c r="Y46" s="38">
        <f t="shared" si="21"/>
        <v>0.00677785</v>
      </c>
      <c r="Z46" s="38">
        <f t="shared" si="22"/>
        <v>0.0164227</v>
      </c>
      <c r="AA46" s="35">
        <f t="shared" si="46"/>
        <v>17776035</v>
      </c>
      <c r="AB46" s="39">
        <f t="shared" si="23"/>
        <v>0.848</v>
      </c>
      <c r="AC46" s="524">
        <f t="shared" si="24"/>
        <v>3185065</v>
      </c>
      <c r="AD46" s="39">
        <f t="shared" si="25"/>
        <v>0.152</v>
      </c>
      <c r="AE46" s="595">
        <f>'Table 7 Local Revenue'!AL45</f>
        <v>18510009</v>
      </c>
      <c r="AF46" s="35">
        <f t="shared" si="26"/>
        <v>733974</v>
      </c>
      <c r="AG46" s="42">
        <f t="shared" si="27"/>
        <v>0</v>
      </c>
      <c r="AH46" s="35">
        <f t="shared" si="28"/>
        <v>6917163</v>
      </c>
      <c r="AI46" s="40">
        <f t="shared" si="29"/>
        <v>733974</v>
      </c>
      <c r="AJ46" s="524">
        <f t="shared" si="30"/>
        <v>0</v>
      </c>
      <c r="AK46" s="39">
        <f t="shared" si="31"/>
        <v>0</v>
      </c>
      <c r="AL46" s="35">
        <f t="shared" si="32"/>
        <v>0</v>
      </c>
      <c r="AM46" s="35">
        <f t="shared" si="33"/>
        <v>733974</v>
      </c>
      <c r="AN46" s="35">
        <f t="shared" si="34"/>
        <v>3185065</v>
      </c>
      <c r="AO46" s="35">
        <f t="shared" si="47"/>
        <v>674.8</v>
      </c>
      <c r="AP46" s="35">
        <f>'Table 4 Level 3'!AE43</f>
        <v>7476503</v>
      </c>
      <c r="AQ46" s="35">
        <f t="shared" si="35"/>
        <v>1584</v>
      </c>
      <c r="AR46" s="524">
        <f t="shared" si="36"/>
        <v>10661568</v>
      </c>
      <c r="AS46" s="35">
        <f>AR46-'Table 2 Distribution &amp; Adjusts'!K43</f>
        <v>754437.1943744961</v>
      </c>
      <c r="AT46" s="524">
        <f t="shared" si="48"/>
        <v>2258.81</v>
      </c>
      <c r="AU46" s="34">
        <f t="shared" si="37"/>
        <v>66</v>
      </c>
      <c r="AV46" s="39">
        <f t="shared" si="49"/>
        <v>0.3655</v>
      </c>
      <c r="AW46" s="34">
        <f t="shared" si="38"/>
        <v>66</v>
      </c>
      <c r="AX46" s="35">
        <f t="shared" si="39"/>
        <v>18510009</v>
      </c>
      <c r="AY46" s="35">
        <f t="shared" si="50"/>
        <v>3921.61</v>
      </c>
      <c r="AZ46" s="34">
        <f t="shared" si="40"/>
        <v>5</v>
      </c>
      <c r="BA46" s="39">
        <f t="shared" si="41"/>
        <v>0.6345</v>
      </c>
      <c r="BB46" s="35">
        <f t="shared" si="51"/>
        <v>29171577</v>
      </c>
      <c r="BC46" s="35">
        <f t="shared" si="52"/>
        <v>6180.42</v>
      </c>
      <c r="BD46" s="34">
        <f t="shared" si="42"/>
        <v>17</v>
      </c>
      <c r="BE46" s="801">
        <v>31346.436027909</v>
      </c>
      <c r="BF46" s="383">
        <f t="shared" si="43"/>
        <v>33406.436027909</v>
      </c>
      <c r="BG46" s="519">
        <f t="shared" si="44"/>
        <v>43</v>
      </c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</row>
    <row r="47" spans="1:156" s="6" customFormat="1" ht="12.75">
      <c r="A47" s="666">
        <v>39</v>
      </c>
      <c r="B47" s="495" t="s">
        <v>44</v>
      </c>
      <c r="C47" s="495">
        <f>+'Table 8 Membership'!U47</f>
        <v>3173</v>
      </c>
      <c r="D47" s="495">
        <v>2487</v>
      </c>
      <c r="E47" s="469">
        <f t="shared" si="6"/>
        <v>1348524</v>
      </c>
      <c r="F47" s="667">
        <f t="shared" si="45"/>
        <v>423</v>
      </c>
      <c r="G47" s="495">
        <f>+'[5]Sheet1'!C41</f>
        <v>986</v>
      </c>
      <c r="H47" s="469">
        <f t="shared" si="7"/>
        <v>156212</v>
      </c>
      <c r="I47" s="495">
        <f t="shared" si="8"/>
        <v>49</v>
      </c>
      <c r="J47" s="495">
        <f>+'[8]A'!C46</f>
        <v>655</v>
      </c>
      <c r="K47" s="469">
        <f t="shared" si="9"/>
        <v>3133804</v>
      </c>
      <c r="L47" s="495">
        <f t="shared" si="10"/>
        <v>983</v>
      </c>
      <c r="M47" s="495">
        <f>+'[8]A'!D46</f>
        <v>19</v>
      </c>
      <c r="N47" s="35">
        <f t="shared" si="11"/>
        <v>35068</v>
      </c>
      <c r="O47" s="34">
        <f t="shared" si="12"/>
        <v>11</v>
      </c>
      <c r="P47" s="34">
        <f t="shared" si="13"/>
        <v>4327</v>
      </c>
      <c r="Q47" s="366">
        <f t="shared" si="14"/>
        <v>0.11539</v>
      </c>
      <c r="R47" s="35">
        <f t="shared" si="15"/>
        <v>1166808</v>
      </c>
      <c r="S47" s="34">
        <f t="shared" si="16"/>
        <v>366</v>
      </c>
      <c r="T47" s="34">
        <f t="shared" si="17"/>
        <v>1832</v>
      </c>
      <c r="U47" s="34">
        <f t="shared" si="18"/>
        <v>5005</v>
      </c>
      <c r="V47" s="35">
        <f t="shared" si="19"/>
        <v>3188</v>
      </c>
      <c r="W47" s="35">
        <f t="shared" si="20"/>
        <v>15955940</v>
      </c>
      <c r="X47" s="38">
        <f>'Table 6 Local Wealth Factor'!L46</f>
        <v>1.4103156</v>
      </c>
      <c r="Y47" s="38">
        <f t="shared" si="21"/>
        <v>0.00515941</v>
      </c>
      <c r="Z47" s="38">
        <f t="shared" si="22"/>
        <v>0.0072764</v>
      </c>
      <c r="AA47" s="35">
        <f t="shared" si="46"/>
        <v>7876021</v>
      </c>
      <c r="AB47" s="39">
        <f t="shared" si="23"/>
        <v>0.4936</v>
      </c>
      <c r="AC47" s="524">
        <f t="shared" si="24"/>
        <v>8079919</v>
      </c>
      <c r="AD47" s="39">
        <f t="shared" si="25"/>
        <v>0.5064</v>
      </c>
      <c r="AE47" s="595">
        <f>'Table 7 Local Revenue'!AL46</f>
        <v>9237078</v>
      </c>
      <c r="AF47" s="35">
        <f t="shared" si="26"/>
        <v>1361057</v>
      </c>
      <c r="AG47" s="42">
        <f t="shared" si="27"/>
        <v>0</v>
      </c>
      <c r="AH47" s="35">
        <f t="shared" si="28"/>
        <v>5265460</v>
      </c>
      <c r="AI47" s="40">
        <f t="shared" si="29"/>
        <v>1361057</v>
      </c>
      <c r="AJ47" s="524">
        <f t="shared" si="30"/>
        <v>209345</v>
      </c>
      <c r="AK47" s="39">
        <f t="shared" si="31"/>
        <v>0.1538106045521973</v>
      </c>
      <c r="AL47" s="35">
        <f t="shared" si="32"/>
        <v>600539</v>
      </c>
      <c r="AM47" s="35">
        <f t="shared" si="33"/>
        <v>1570402</v>
      </c>
      <c r="AN47" s="35">
        <f t="shared" si="34"/>
        <v>8289264</v>
      </c>
      <c r="AO47" s="35">
        <f t="shared" si="47"/>
        <v>2612.44</v>
      </c>
      <c r="AP47" s="35">
        <f>'Table 4 Level 3'!AE44</f>
        <v>817274</v>
      </c>
      <c r="AQ47" s="35">
        <f t="shared" si="35"/>
        <v>257.57</v>
      </c>
      <c r="AR47" s="524">
        <f t="shared" si="36"/>
        <v>9106538</v>
      </c>
      <c r="AS47" s="35">
        <f>AR47-'Table 2 Distribution &amp; Adjusts'!K44</f>
        <v>455925.4700585939</v>
      </c>
      <c r="AT47" s="524">
        <f t="shared" si="48"/>
        <v>2870.01</v>
      </c>
      <c r="AU47" s="34">
        <f t="shared" si="37"/>
        <v>56</v>
      </c>
      <c r="AV47" s="39">
        <f t="shared" si="49"/>
        <v>0.4964</v>
      </c>
      <c r="AW47" s="34">
        <f t="shared" si="38"/>
        <v>55</v>
      </c>
      <c r="AX47" s="35">
        <f t="shared" si="39"/>
        <v>9237078</v>
      </c>
      <c r="AY47" s="35">
        <f t="shared" si="50"/>
        <v>2911.15</v>
      </c>
      <c r="AZ47" s="34">
        <f t="shared" si="40"/>
        <v>14</v>
      </c>
      <c r="BA47" s="39">
        <f t="shared" si="41"/>
        <v>0.5036</v>
      </c>
      <c r="BB47" s="35">
        <f t="shared" si="51"/>
        <v>18343616</v>
      </c>
      <c r="BC47" s="35">
        <f t="shared" si="52"/>
        <v>5781.16</v>
      </c>
      <c r="BD47" s="34">
        <f t="shared" si="42"/>
        <v>29</v>
      </c>
      <c r="BE47" s="801">
        <v>32085.3459431319</v>
      </c>
      <c r="BF47" s="383">
        <f t="shared" si="43"/>
        <v>34145.3459431319</v>
      </c>
      <c r="BG47" s="519">
        <f t="shared" si="44"/>
        <v>36</v>
      </c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</row>
    <row r="48" spans="1:156" s="54" customFormat="1" ht="12.75">
      <c r="A48" s="668">
        <v>40</v>
      </c>
      <c r="B48" s="498" t="s">
        <v>45</v>
      </c>
      <c r="C48" s="498">
        <f>+'Table 8 Membership'!U48</f>
        <v>22592</v>
      </c>
      <c r="D48" s="498">
        <v>14048</v>
      </c>
      <c r="E48" s="472">
        <f t="shared" si="6"/>
        <v>7612944</v>
      </c>
      <c r="F48" s="669">
        <f t="shared" si="45"/>
        <v>2388</v>
      </c>
      <c r="G48" s="498">
        <f>+'[5]Sheet1'!C42</f>
        <v>6282</v>
      </c>
      <c r="H48" s="472">
        <f t="shared" si="7"/>
        <v>1001032</v>
      </c>
      <c r="I48" s="498">
        <f t="shared" si="8"/>
        <v>314</v>
      </c>
      <c r="J48" s="495">
        <f>+'[8]A'!C47</f>
        <v>3172</v>
      </c>
      <c r="K48" s="472">
        <f t="shared" si="9"/>
        <v>15168504</v>
      </c>
      <c r="L48" s="498">
        <f t="shared" si="10"/>
        <v>4758</v>
      </c>
      <c r="M48" s="495">
        <f>+'[8]A'!D47</f>
        <v>426</v>
      </c>
      <c r="N48" s="49">
        <f t="shared" si="11"/>
        <v>816128</v>
      </c>
      <c r="O48" s="48">
        <f t="shared" si="12"/>
        <v>256</v>
      </c>
      <c r="P48" s="48">
        <f t="shared" si="13"/>
        <v>0</v>
      </c>
      <c r="Q48" s="367">
        <f t="shared" si="14"/>
        <v>0</v>
      </c>
      <c r="R48" s="49">
        <f t="shared" si="15"/>
        <v>0</v>
      </c>
      <c r="S48" s="48">
        <f t="shared" si="16"/>
        <v>0</v>
      </c>
      <c r="T48" s="48">
        <f t="shared" si="17"/>
        <v>7716</v>
      </c>
      <c r="U48" s="34">
        <f t="shared" si="18"/>
        <v>30308</v>
      </c>
      <c r="V48" s="49">
        <f t="shared" si="19"/>
        <v>3188</v>
      </c>
      <c r="W48" s="49">
        <f t="shared" si="20"/>
        <v>96621904</v>
      </c>
      <c r="X48" s="51">
        <f>'Table 6 Local Wealth Factor'!L47</f>
        <v>0.91874044</v>
      </c>
      <c r="Y48" s="51">
        <f t="shared" si="21"/>
        <v>0.03124304</v>
      </c>
      <c r="Z48" s="51">
        <f t="shared" si="22"/>
        <v>0.02870424</v>
      </c>
      <c r="AA48" s="49">
        <f t="shared" si="46"/>
        <v>31069651</v>
      </c>
      <c r="AB48" s="52">
        <f t="shared" si="23"/>
        <v>0.3216</v>
      </c>
      <c r="AC48" s="525">
        <f t="shared" si="24"/>
        <v>65552253</v>
      </c>
      <c r="AD48" s="52">
        <f t="shared" si="25"/>
        <v>0.6784</v>
      </c>
      <c r="AE48" s="596">
        <f>'Table 7 Local Revenue'!AL47</f>
        <v>54102897</v>
      </c>
      <c r="AF48" s="49">
        <f t="shared" si="26"/>
        <v>23033246</v>
      </c>
      <c r="AG48" s="61">
        <f t="shared" si="27"/>
        <v>0</v>
      </c>
      <c r="AH48" s="49">
        <f t="shared" si="28"/>
        <v>31885228</v>
      </c>
      <c r="AI48" s="53">
        <f t="shared" si="29"/>
        <v>23033246</v>
      </c>
      <c r="AJ48" s="525">
        <f t="shared" si="30"/>
        <v>10336301</v>
      </c>
      <c r="AK48" s="52">
        <f t="shared" si="31"/>
        <v>0.44875572465991115</v>
      </c>
      <c r="AL48" s="49">
        <f t="shared" si="32"/>
        <v>3972378</v>
      </c>
      <c r="AM48" s="49">
        <f t="shared" si="33"/>
        <v>33369547</v>
      </c>
      <c r="AN48" s="49">
        <f t="shared" si="34"/>
        <v>75888554</v>
      </c>
      <c r="AO48" s="49">
        <f t="shared" si="47"/>
        <v>3359.09</v>
      </c>
      <c r="AP48" s="49">
        <f>'Table 4 Level 3'!AE45</f>
        <v>3756826</v>
      </c>
      <c r="AQ48" s="49">
        <f t="shared" si="35"/>
        <v>166.29</v>
      </c>
      <c r="AR48" s="525">
        <f t="shared" si="36"/>
        <v>79645380</v>
      </c>
      <c r="AS48" s="49">
        <f>AR48-'Table 2 Distribution &amp; Adjusts'!K45</f>
        <v>3138866.4344914407</v>
      </c>
      <c r="AT48" s="525">
        <f t="shared" si="48"/>
        <v>3525.38</v>
      </c>
      <c r="AU48" s="48">
        <f t="shared" si="37"/>
        <v>42</v>
      </c>
      <c r="AV48" s="52">
        <f t="shared" si="49"/>
        <v>0.5955</v>
      </c>
      <c r="AW48" s="48">
        <f t="shared" si="38"/>
        <v>44</v>
      </c>
      <c r="AX48" s="49">
        <f t="shared" si="39"/>
        <v>54102897</v>
      </c>
      <c r="AY48" s="49">
        <f t="shared" si="50"/>
        <v>2394.78</v>
      </c>
      <c r="AZ48" s="48">
        <f t="shared" si="40"/>
        <v>23</v>
      </c>
      <c r="BA48" s="52">
        <f t="shared" si="41"/>
        <v>0.4045</v>
      </c>
      <c r="BB48" s="49">
        <f t="shared" si="51"/>
        <v>133748277</v>
      </c>
      <c r="BC48" s="49">
        <f t="shared" si="52"/>
        <v>5920.16</v>
      </c>
      <c r="BD48" s="48">
        <f t="shared" si="42"/>
        <v>20</v>
      </c>
      <c r="BE48" s="802">
        <v>32572.9854428025</v>
      </c>
      <c r="BF48" s="384">
        <f t="shared" si="43"/>
        <v>34632.9854428025</v>
      </c>
      <c r="BG48" s="520">
        <f t="shared" si="44"/>
        <v>33</v>
      </c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</row>
    <row r="49" spans="1:156" s="6" customFormat="1" ht="12.75">
      <c r="A49" s="666">
        <v>41</v>
      </c>
      <c r="B49" s="495" t="s">
        <v>46</v>
      </c>
      <c r="C49" s="495">
        <f>+'Table 8 Membership'!U49</f>
        <v>1649</v>
      </c>
      <c r="D49" s="495">
        <v>1373</v>
      </c>
      <c r="E49" s="469">
        <f t="shared" si="6"/>
        <v>742804</v>
      </c>
      <c r="F49" s="667">
        <f t="shared" si="45"/>
        <v>233</v>
      </c>
      <c r="G49" s="495">
        <f>+'[5]Sheet1'!C43</f>
        <v>599</v>
      </c>
      <c r="H49" s="469">
        <f t="shared" si="7"/>
        <v>95640</v>
      </c>
      <c r="I49" s="495">
        <f t="shared" si="8"/>
        <v>30</v>
      </c>
      <c r="J49" s="495">
        <f>+'[8]A'!C48</f>
        <v>259</v>
      </c>
      <c r="K49" s="469">
        <f t="shared" si="9"/>
        <v>1240132</v>
      </c>
      <c r="L49" s="495">
        <f t="shared" si="10"/>
        <v>389</v>
      </c>
      <c r="M49" s="495">
        <f>+'[8]A'!D48</f>
        <v>3</v>
      </c>
      <c r="N49" s="35">
        <f t="shared" si="11"/>
        <v>6376</v>
      </c>
      <c r="O49" s="34">
        <f t="shared" si="12"/>
        <v>2</v>
      </c>
      <c r="P49" s="34">
        <f t="shared" si="13"/>
        <v>5851</v>
      </c>
      <c r="Q49" s="366">
        <f t="shared" si="14"/>
        <v>0.15603</v>
      </c>
      <c r="R49" s="35">
        <f t="shared" si="15"/>
        <v>819316</v>
      </c>
      <c r="S49" s="34">
        <f t="shared" si="16"/>
        <v>257</v>
      </c>
      <c r="T49" s="34">
        <f t="shared" si="17"/>
        <v>911</v>
      </c>
      <c r="U49" s="126">
        <f t="shared" si="18"/>
        <v>2560</v>
      </c>
      <c r="V49" s="35">
        <f t="shared" si="19"/>
        <v>3188</v>
      </c>
      <c r="W49" s="35">
        <f t="shared" si="20"/>
        <v>8161280</v>
      </c>
      <c r="X49" s="38">
        <f>'Table 6 Local Wealth Factor'!L48</f>
        <v>0.46222024</v>
      </c>
      <c r="Y49" s="38">
        <f t="shared" si="21"/>
        <v>0.00263898</v>
      </c>
      <c r="Z49" s="38">
        <f t="shared" si="22"/>
        <v>0.00121979</v>
      </c>
      <c r="AA49" s="35">
        <f t="shared" si="46"/>
        <v>1320308</v>
      </c>
      <c r="AB49" s="39">
        <f t="shared" si="23"/>
        <v>0.1618</v>
      </c>
      <c r="AC49" s="524">
        <f t="shared" si="24"/>
        <v>6840972</v>
      </c>
      <c r="AD49" s="39">
        <f t="shared" si="25"/>
        <v>0.8382</v>
      </c>
      <c r="AE49" s="595">
        <f>'Table 7 Local Revenue'!AL48</f>
        <v>3391785.5</v>
      </c>
      <c r="AF49" s="35">
        <f t="shared" si="26"/>
        <v>2071477.5</v>
      </c>
      <c r="AG49" s="42">
        <f t="shared" si="27"/>
        <v>0</v>
      </c>
      <c r="AH49" s="35">
        <f t="shared" si="28"/>
        <v>2693222</v>
      </c>
      <c r="AI49" s="40">
        <f t="shared" si="29"/>
        <v>2071477.5</v>
      </c>
      <c r="AJ49" s="524">
        <f t="shared" si="30"/>
        <v>1496990</v>
      </c>
      <c r="AK49" s="39">
        <f t="shared" si="31"/>
        <v>0.722667757675379</v>
      </c>
      <c r="AL49" s="35">
        <f t="shared" si="32"/>
        <v>449315</v>
      </c>
      <c r="AM49" s="35">
        <f t="shared" si="33"/>
        <v>3568467.5</v>
      </c>
      <c r="AN49" s="35">
        <f t="shared" si="34"/>
        <v>8337962</v>
      </c>
      <c r="AO49" s="35">
        <f t="shared" si="47"/>
        <v>5056.37</v>
      </c>
      <c r="AP49" s="35">
        <f>'Table 4 Level 3'!AE46</f>
        <v>336688</v>
      </c>
      <c r="AQ49" s="35">
        <f t="shared" si="35"/>
        <v>204.18</v>
      </c>
      <c r="AR49" s="524">
        <f t="shared" si="36"/>
        <v>8674650</v>
      </c>
      <c r="AS49" s="35">
        <f>AR49-'Table 2 Distribution &amp; Adjusts'!K46</f>
        <v>64713.55471164361</v>
      </c>
      <c r="AT49" s="524">
        <f t="shared" si="48"/>
        <v>5260.55</v>
      </c>
      <c r="AU49" s="34">
        <f t="shared" si="37"/>
        <v>1</v>
      </c>
      <c r="AV49" s="39">
        <f t="shared" si="49"/>
        <v>0.7189</v>
      </c>
      <c r="AW49" s="34">
        <f t="shared" si="38"/>
        <v>25</v>
      </c>
      <c r="AX49" s="35">
        <f t="shared" si="39"/>
        <v>3391785.5</v>
      </c>
      <c r="AY49" s="35">
        <f t="shared" si="50"/>
        <v>2056.87</v>
      </c>
      <c r="AZ49" s="34">
        <f t="shared" si="40"/>
        <v>30</v>
      </c>
      <c r="BA49" s="39">
        <f t="shared" si="41"/>
        <v>0.2811</v>
      </c>
      <c r="BB49" s="35">
        <f t="shared" si="51"/>
        <v>12066435.5</v>
      </c>
      <c r="BC49" s="35">
        <f t="shared" si="52"/>
        <v>7317.43</v>
      </c>
      <c r="BD49" s="34">
        <f t="shared" si="42"/>
        <v>2</v>
      </c>
      <c r="BE49" s="801">
        <v>30253.1250103745</v>
      </c>
      <c r="BF49" s="383">
        <f t="shared" si="43"/>
        <v>32313.1250103745</v>
      </c>
      <c r="BG49" s="519">
        <f t="shared" si="44"/>
        <v>52</v>
      </c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</row>
    <row r="50" spans="1:156" s="6" customFormat="1" ht="12.75">
      <c r="A50" s="666">
        <v>42</v>
      </c>
      <c r="B50" s="495" t="s">
        <v>47</v>
      </c>
      <c r="C50" s="495">
        <f>+'Table 8 Membership'!U50</f>
        <v>3570</v>
      </c>
      <c r="D50" s="495">
        <v>2474</v>
      </c>
      <c r="E50" s="469">
        <f t="shared" si="6"/>
        <v>1342148</v>
      </c>
      <c r="F50" s="667">
        <f t="shared" si="45"/>
        <v>421</v>
      </c>
      <c r="G50" s="495">
        <f>+'[5]Sheet1'!C44</f>
        <v>808</v>
      </c>
      <c r="H50" s="469">
        <f t="shared" si="7"/>
        <v>127520</v>
      </c>
      <c r="I50" s="495">
        <f t="shared" si="8"/>
        <v>40</v>
      </c>
      <c r="J50" s="495">
        <f>+'[8]A'!C49</f>
        <v>538</v>
      </c>
      <c r="K50" s="469">
        <f t="shared" si="9"/>
        <v>2572716</v>
      </c>
      <c r="L50" s="495">
        <f t="shared" si="10"/>
        <v>807</v>
      </c>
      <c r="M50" s="495">
        <f>+'[8]A'!D49</f>
        <v>95</v>
      </c>
      <c r="N50" s="35">
        <f t="shared" si="11"/>
        <v>181716</v>
      </c>
      <c r="O50" s="34">
        <f t="shared" si="12"/>
        <v>57</v>
      </c>
      <c r="P50" s="34">
        <f t="shared" si="13"/>
        <v>3930</v>
      </c>
      <c r="Q50" s="366">
        <f t="shared" si="14"/>
        <v>0.1048</v>
      </c>
      <c r="R50" s="35">
        <f t="shared" si="15"/>
        <v>1192312</v>
      </c>
      <c r="S50" s="34">
        <f t="shared" si="16"/>
        <v>374</v>
      </c>
      <c r="T50" s="34">
        <f t="shared" si="17"/>
        <v>1699</v>
      </c>
      <c r="U50" s="34">
        <f t="shared" si="18"/>
        <v>5269</v>
      </c>
      <c r="V50" s="35">
        <f t="shared" si="19"/>
        <v>3188</v>
      </c>
      <c r="W50" s="35">
        <f t="shared" si="20"/>
        <v>16797572</v>
      </c>
      <c r="X50" s="38">
        <f>'Table 6 Local Wealth Factor'!L49</f>
        <v>0.54613111</v>
      </c>
      <c r="Y50" s="38">
        <f t="shared" si="21"/>
        <v>0.00543156</v>
      </c>
      <c r="Z50" s="38">
        <f t="shared" si="22"/>
        <v>0.00296634</v>
      </c>
      <c r="AA50" s="35">
        <f t="shared" si="46"/>
        <v>3210785</v>
      </c>
      <c r="AB50" s="39">
        <f t="shared" si="23"/>
        <v>0.1911</v>
      </c>
      <c r="AC50" s="524">
        <f t="shared" si="24"/>
        <v>13586787</v>
      </c>
      <c r="AD50" s="39">
        <f t="shared" si="25"/>
        <v>0.8089</v>
      </c>
      <c r="AE50" s="595">
        <f>'Table 7 Local Revenue'!AL49</f>
        <v>5234511.5</v>
      </c>
      <c r="AF50" s="35">
        <f t="shared" si="26"/>
        <v>2023726.5</v>
      </c>
      <c r="AG50" s="42">
        <f t="shared" si="27"/>
        <v>0</v>
      </c>
      <c r="AH50" s="35">
        <f t="shared" si="28"/>
        <v>5543199</v>
      </c>
      <c r="AI50" s="40">
        <f t="shared" si="29"/>
        <v>2023726.5</v>
      </c>
      <c r="AJ50" s="524">
        <f t="shared" si="30"/>
        <v>1360595</v>
      </c>
      <c r="AK50" s="39">
        <f t="shared" si="31"/>
        <v>0.6723215810041525</v>
      </c>
      <c r="AL50" s="35">
        <f t="shared" si="32"/>
        <v>2366216</v>
      </c>
      <c r="AM50" s="35">
        <f t="shared" si="33"/>
        <v>3384321.5</v>
      </c>
      <c r="AN50" s="35">
        <f t="shared" si="34"/>
        <v>14947382</v>
      </c>
      <c r="AO50" s="35">
        <f t="shared" si="47"/>
        <v>4186.94</v>
      </c>
      <c r="AP50" s="35">
        <f>'Table 4 Level 3'!AE47</f>
        <v>24605</v>
      </c>
      <c r="AQ50" s="35">
        <f t="shared" si="35"/>
        <v>6.89</v>
      </c>
      <c r="AR50" s="524">
        <f t="shared" si="36"/>
        <v>14971987</v>
      </c>
      <c r="AS50" s="35">
        <f>AR50-'Table 2 Distribution &amp; Adjusts'!K47</f>
        <v>591663.5634353422</v>
      </c>
      <c r="AT50" s="524">
        <f t="shared" si="48"/>
        <v>4193.83</v>
      </c>
      <c r="AU50" s="34">
        <f t="shared" si="37"/>
        <v>13</v>
      </c>
      <c r="AV50" s="39">
        <f t="shared" si="49"/>
        <v>0.7409</v>
      </c>
      <c r="AW50" s="34">
        <f t="shared" si="38"/>
        <v>18</v>
      </c>
      <c r="AX50" s="35">
        <f t="shared" si="39"/>
        <v>5234511.5</v>
      </c>
      <c r="AY50" s="35">
        <f t="shared" si="50"/>
        <v>1466.25</v>
      </c>
      <c r="AZ50" s="34">
        <f t="shared" si="40"/>
        <v>46</v>
      </c>
      <c r="BA50" s="39">
        <f t="shared" si="41"/>
        <v>0.2591</v>
      </c>
      <c r="BB50" s="35">
        <f t="shared" si="51"/>
        <v>20206498.5</v>
      </c>
      <c r="BC50" s="35">
        <f t="shared" si="52"/>
        <v>5660.08</v>
      </c>
      <c r="BD50" s="34">
        <f t="shared" si="42"/>
        <v>38</v>
      </c>
      <c r="BE50" s="801">
        <v>31138.9904456307</v>
      </c>
      <c r="BF50" s="383">
        <f t="shared" si="43"/>
        <v>33198.9904456307</v>
      </c>
      <c r="BG50" s="519">
        <f t="shared" si="44"/>
        <v>44</v>
      </c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</row>
    <row r="51" spans="1:156" s="6" customFormat="1" ht="12.75">
      <c r="A51" s="666">
        <v>43</v>
      </c>
      <c r="B51" s="495" t="s">
        <v>48</v>
      </c>
      <c r="C51" s="495">
        <f>+'Table 8 Membership'!U51</f>
        <v>4162</v>
      </c>
      <c r="D51" s="495">
        <v>2529</v>
      </c>
      <c r="E51" s="469">
        <f t="shared" si="6"/>
        <v>1370840</v>
      </c>
      <c r="F51" s="667">
        <f t="shared" si="45"/>
        <v>430</v>
      </c>
      <c r="G51" s="495">
        <f>+'[5]Sheet1'!C45</f>
        <v>1699</v>
      </c>
      <c r="H51" s="469">
        <f t="shared" si="7"/>
        <v>270980</v>
      </c>
      <c r="I51" s="495">
        <f t="shared" si="8"/>
        <v>85</v>
      </c>
      <c r="J51" s="495">
        <f>+'[8]A'!C50</f>
        <v>663</v>
      </c>
      <c r="K51" s="469">
        <f t="shared" si="9"/>
        <v>3172060</v>
      </c>
      <c r="L51" s="495">
        <f t="shared" si="10"/>
        <v>995</v>
      </c>
      <c r="M51" s="495">
        <f>+'[8]A'!D50</f>
        <v>70</v>
      </c>
      <c r="N51" s="35">
        <f t="shared" si="11"/>
        <v>133896</v>
      </c>
      <c r="O51" s="34">
        <f t="shared" si="12"/>
        <v>42</v>
      </c>
      <c r="P51" s="34">
        <f t="shared" si="13"/>
        <v>3338</v>
      </c>
      <c r="Q51" s="366">
        <f t="shared" si="14"/>
        <v>0.08901</v>
      </c>
      <c r="R51" s="35">
        <f t="shared" si="15"/>
        <v>1179560</v>
      </c>
      <c r="S51" s="34">
        <f t="shared" si="16"/>
        <v>370</v>
      </c>
      <c r="T51" s="34">
        <f t="shared" si="17"/>
        <v>1922</v>
      </c>
      <c r="U51" s="34">
        <f t="shared" si="18"/>
        <v>6084</v>
      </c>
      <c r="V51" s="35">
        <f t="shared" si="19"/>
        <v>3188</v>
      </c>
      <c r="W51" s="35">
        <f t="shared" si="20"/>
        <v>19395792</v>
      </c>
      <c r="X51" s="38">
        <f>'Table 6 Local Wealth Factor'!L50</f>
        <v>0.58652679</v>
      </c>
      <c r="Y51" s="38">
        <f t="shared" si="21"/>
        <v>0.0062717</v>
      </c>
      <c r="Z51" s="38">
        <f t="shared" si="22"/>
        <v>0.00367852</v>
      </c>
      <c r="AA51" s="35">
        <f t="shared" si="46"/>
        <v>3981653</v>
      </c>
      <c r="AB51" s="39">
        <f t="shared" si="23"/>
        <v>0.2053</v>
      </c>
      <c r="AC51" s="524">
        <f t="shared" si="24"/>
        <v>15414139</v>
      </c>
      <c r="AD51" s="39">
        <f t="shared" si="25"/>
        <v>0.7947</v>
      </c>
      <c r="AE51" s="595">
        <f>'Table 7 Local Revenue'!AL50</f>
        <v>6407512</v>
      </c>
      <c r="AF51" s="35">
        <f t="shared" si="26"/>
        <v>2425859</v>
      </c>
      <c r="AG51" s="42">
        <f t="shared" si="27"/>
        <v>0</v>
      </c>
      <c r="AH51" s="35">
        <f t="shared" si="28"/>
        <v>6400611</v>
      </c>
      <c r="AI51" s="40">
        <f t="shared" si="29"/>
        <v>2425859</v>
      </c>
      <c r="AJ51" s="524">
        <f t="shared" si="30"/>
        <v>1572160</v>
      </c>
      <c r="AK51" s="39">
        <f t="shared" si="31"/>
        <v>0.6480838333967472</v>
      </c>
      <c r="AL51" s="35">
        <f t="shared" si="32"/>
        <v>2575973</v>
      </c>
      <c r="AM51" s="35">
        <f t="shared" si="33"/>
        <v>3998019</v>
      </c>
      <c r="AN51" s="35">
        <f t="shared" si="34"/>
        <v>16986299</v>
      </c>
      <c r="AO51" s="35">
        <f t="shared" si="47"/>
        <v>4081.28</v>
      </c>
      <c r="AP51" s="35">
        <f>'Table 4 Level 3'!AE48</f>
        <v>-818473</v>
      </c>
      <c r="AQ51" s="35">
        <f t="shared" si="35"/>
        <v>-196.65</v>
      </c>
      <c r="AR51" s="524">
        <f t="shared" si="36"/>
        <v>16167826</v>
      </c>
      <c r="AS51" s="35">
        <f>AR51-'Table 2 Distribution &amp; Adjusts'!K48</f>
        <v>751976.6730279122</v>
      </c>
      <c r="AT51" s="524">
        <f t="shared" si="48"/>
        <v>3884.63</v>
      </c>
      <c r="AU51" s="34">
        <f t="shared" si="37"/>
        <v>24</v>
      </c>
      <c r="AV51" s="39">
        <f t="shared" si="49"/>
        <v>0.7162</v>
      </c>
      <c r="AW51" s="34">
        <f t="shared" si="38"/>
        <v>27</v>
      </c>
      <c r="AX51" s="35">
        <f t="shared" si="39"/>
        <v>6407512</v>
      </c>
      <c r="AY51" s="35">
        <f t="shared" si="50"/>
        <v>1539.53</v>
      </c>
      <c r="AZ51" s="34">
        <f t="shared" si="40"/>
        <v>44</v>
      </c>
      <c r="BA51" s="39">
        <f t="shared" si="41"/>
        <v>0.2838</v>
      </c>
      <c r="BB51" s="35">
        <f t="shared" si="51"/>
        <v>22575338</v>
      </c>
      <c r="BC51" s="35">
        <f t="shared" si="52"/>
        <v>5424.16</v>
      </c>
      <c r="BD51" s="34">
        <f t="shared" si="42"/>
        <v>48</v>
      </c>
      <c r="BE51" s="801">
        <v>29284.5017433728</v>
      </c>
      <c r="BF51" s="383">
        <f t="shared" si="43"/>
        <v>31344.5017433728</v>
      </c>
      <c r="BG51" s="519">
        <f t="shared" si="44"/>
        <v>58</v>
      </c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</row>
    <row r="52" spans="1:156" s="6" customFormat="1" ht="12.75">
      <c r="A52" s="666">
        <v>44</v>
      </c>
      <c r="B52" s="495" t="s">
        <v>49</v>
      </c>
      <c r="C52" s="495">
        <f>+'Table 8 Membership'!U52</f>
        <v>8412</v>
      </c>
      <c r="D52" s="495">
        <v>4730</v>
      </c>
      <c r="E52" s="469">
        <f t="shared" si="6"/>
        <v>2563152</v>
      </c>
      <c r="F52" s="667">
        <f t="shared" si="45"/>
        <v>804</v>
      </c>
      <c r="G52" s="495">
        <f>+'[5]Sheet1'!C46</f>
        <v>1482</v>
      </c>
      <c r="H52" s="469">
        <f t="shared" si="7"/>
        <v>235912</v>
      </c>
      <c r="I52" s="495">
        <f t="shared" si="8"/>
        <v>74</v>
      </c>
      <c r="J52" s="495">
        <f>+'[8]A'!C51</f>
        <v>1301</v>
      </c>
      <c r="K52" s="469">
        <f t="shared" si="9"/>
        <v>6222976</v>
      </c>
      <c r="L52" s="495">
        <f t="shared" si="10"/>
        <v>1952</v>
      </c>
      <c r="M52" s="495">
        <f>+'[8]A'!D51</f>
        <v>311</v>
      </c>
      <c r="N52" s="35">
        <f t="shared" si="11"/>
        <v>596156</v>
      </c>
      <c r="O52" s="34">
        <f t="shared" si="12"/>
        <v>187</v>
      </c>
      <c r="P52" s="34">
        <f t="shared" si="13"/>
        <v>0</v>
      </c>
      <c r="Q52" s="366">
        <f t="shared" si="14"/>
        <v>0</v>
      </c>
      <c r="R52" s="35">
        <f t="shared" si="15"/>
        <v>0</v>
      </c>
      <c r="S52" s="34">
        <f t="shared" si="16"/>
        <v>0</v>
      </c>
      <c r="T52" s="34">
        <f t="shared" si="17"/>
        <v>3017</v>
      </c>
      <c r="U52" s="34">
        <f t="shared" si="18"/>
        <v>11429</v>
      </c>
      <c r="V52" s="35">
        <f t="shared" si="19"/>
        <v>3188</v>
      </c>
      <c r="W52" s="35">
        <f t="shared" si="20"/>
        <v>36435652</v>
      </c>
      <c r="X52" s="38">
        <f>'Table 6 Local Wealth Factor'!L51</f>
        <v>0.98261679</v>
      </c>
      <c r="Y52" s="38">
        <f t="shared" si="21"/>
        <v>0.0117816</v>
      </c>
      <c r="Z52" s="38">
        <f t="shared" si="22"/>
        <v>0.0115768</v>
      </c>
      <c r="AA52" s="35">
        <f t="shared" si="46"/>
        <v>12530802</v>
      </c>
      <c r="AB52" s="39">
        <f t="shared" si="23"/>
        <v>0.3439</v>
      </c>
      <c r="AC52" s="524">
        <f t="shared" si="24"/>
        <v>23904850</v>
      </c>
      <c r="AD52" s="39">
        <f t="shared" si="25"/>
        <v>0.6561</v>
      </c>
      <c r="AE52" s="595">
        <f>'Table 7 Local Revenue'!AL51</f>
        <v>23178497</v>
      </c>
      <c r="AF52" s="35">
        <f t="shared" si="26"/>
        <v>10647695</v>
      </c>
      <c r="AG52" s="42">
        <f t="shared" si="27"/>
        <v>0</v>
      </c>
      <c r="AH52" s="35">
        <f t="shared" si="28"/>
        <v>12023765</v>
      </c>
      <c r="AI52" s="40">
        <f t="shared" si="29"/>
        <v>10647695</v>
      </c>
      <c r="AJ52" s="524">
        <f t="shared" si="30"/>
        <v>4370133</v>
      </c>
      <c r="AK52" s="39">
        <f t="shared" si="31"/>
        <v>0.41042995690616607</v>
      </c>
      <c r="AL52" s="35">
        <f t="shared" si="32"/>
        <v>564780</v>
      </c>
      <c r="AM52" s="35">
        <f t="shared" si="33"/>
        <v>15017828</v>
      </c>
      <c r="AN52" s="35">
        <f t="shared" si="34"/>
        <v>28274983</v>
      </c>
      <c r="AO52" s="35">
        <f t="shared" si="47"/>
        <v>3361.27</v>
      </c>
      <c r="AP52" s="35">
        <f>'Table 4 Level 3'!AE49</f>
        <v>-1875609</v>
      </c>
      <c r="AQ52" s="35">
        <f t="shared" si="35"/>
        <v>-222.97</v>
      </c>
      <c r="AR52" s="524">
        <f t="shared" si="36"/>
        <v>26399374</v>
      </c>
      <c r="AS52" s="35">
        <f>AR52-'Table 2 Distribution &amp; Adjusts'!K49</f>
        <v>1388759.84342644</v>
      </c>
      <c r="AT52" s="524">
        <f t="shared" si="48"/>
        <v>3138.3</v>
      </c>
      <c r="AU52" s="34">
        <f t="shared" si="37"/>
        <v>54</v>
      </c>
      <c r="AV52" s="39">
        <f t="shared" si="49"/>
        <v>0.5325</v>
      </c>
      <c r="AW52" s="34">
        <f t="shared" si="38"/>
        <v>52</v>
      </c>
      <c r="AX52" s="35">
        <f t="shared" si="39"/>
        <v>23178497</v>
      </c>
      <c r="AY52" s="35">
        <f t="shared" si="50"/>
        <v>2755.41</v>
      </c>
      <c r="AZ52" s="34">
        <f t="shared" si="40"/>
        <v>17</v>
      </c>
      <c r="BA52" s="39">
        <f t="shared" si="41"/>
        <v>0.4675</v>
      </c>
      <c r="BB52" s="35">
        <f t="shared" si="51"/>
        <v>49577871</v>
      </c>
      <c r="BC52" s="35">
        <f t="shared" si="52"/>
        <v>5893.71</v>
      </c>
      <c r="BD52" s="34">
        <f t="shared" si="42"/>
        <v>23</v>
      </c>
      <c r="BE52" s="801">
        <v>34251.4182007545</v>
      </c>
      <c r="BF52" s="383">
        <f t="shared" si="43"/>
        <v>36311.4182007545</v>
      </c>
      <c r="BG52" s="519">
        <f t="shared" si="44"/>
        <v>16</v>
      </c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</row>
    <row r="53" spans="1:156" s="54" customFormat="1" ht="12.75">
      <c r="A53" s="668">
        <v>45</v>
      </c>
      <c r="B53" s="498" t="s">
        <v>50</v>
      </c>
      <c r="C53" s="498">
        <f>+'Table 8 Membership'!U53</f>
        <v>9646</v>
      </c>
      <c r="D53" s="498">
        <v>4003</v>
      </c>
      <c r="E53" s="472">
        <f t="shared" si="6"/>
        <v>2171028</v>
      </c>
      <c r="F53" s="669">
        <f t="shared" si="45"/>
        <v>681</v>
      </c>
      <c r="G53" s="498">
        <f>+'[5]Sheet1'!C47</f>
        <v>2385</v>
      </c>
      <c r="H53" s="472">
        <f t="shared" si="7"/>
        <v>379372</v>
      </c>
      <c r="I53" s="498">
        <f t="shared" si="8"/>
        <v>119</v>
      </c>
      <c r="J53" s="495">
        <f>+'[8]A'!C52</f>
        <v>1094</v>
      </c>
      <c r="K53" s="472">
        <f t="shared" si="9"/>
        <v>5231508</v>
      </c>
      <c r="L53" s="498">
        <f t="shared" si="10"/>
        <v>1641</v>
      </c>
      <c r="M53" s="495">
        <f>+'[8]A'!D52</f>
        <v>774</v>
      </c>
      <c r="N53" s="49">
        <f t="shared" si="11"/>
        <v>1479232</v>
      </c>
      <c r="O53" s="48">
        <f t="shared" si="12"/>
        <v>464</v>
      </c>
      <c r="P53" s="48">
        <f t="shared" si="13"/>
        <v>0</v>
      </c>
      <c r="Q53" s="367">
        <f t="shared" si="14"/>
        <v>0</v>
      </c>
      <c r="R53" s="49">
        <f t="shared" si="15"/>
        <v>0</v>
      </c>
      <c r="S53" s="48">
        <f t="shared" si="16"/>
        <v>0</v>
      </c>
      <c r="T53" s="48">
        <f t="shared" si="17"/>
        <v>2905</v>
      </c>
      <c r="U53" s="34">
        <f t="shared" si="18"/>
        <v>12551</v>
      </c>
      <c r="V53" s="49">
        <f t="shared" si="19"/>
        <v>3188</v>
      </c>
      <c r="W53" s="49">
        <f t="shared" si="20"/>
        <v>40012588</v>
      </c>
      <c r="X53" s="51">
        <f>'Table 6 Local Wealth Factor'!L52</f>
        <v>1.85920308</v>
      </c>
      <c r="Y53" s="51">
        <f t="shared" si="21"/>
        <v>0.01293821</v>
      </c>
      <c r="Z53" s="51">
        <f t="shared" si="22"/>
        <v>0.02405476</v>
      </c>
      <c r="AA53" s="49">
        <f t="shared" si="46"/>
        <v>26037025</v>
      </c>
      <c r="AB53" s="52">
        <f t="shared" si="23"/>
        <v>0.6507</v>
      </c>
      <c r="AC53" s="525">
        <f t="shared" si="24"/>
        <v>13975563</v>
      </c>
      <c r="AD53" s="52">
        <f t="shared" si="25"/>
        <v>0.3493</v>
      </c>
      <c r="AE53" s="596">
        <f>'Table 7 Local Revenue'!AL52</f>
        <v>52701846</v>
      </c>
      <c r="AF53" s="49">
        <f t="shared" si="26"/>
        <v>26664821</v>
      </c>
      <c r="AG53" s="61">
        <f t="shared" si="27"/>
        <v>0</v>
      </c>
      <c r="AH53" s="49">
        <f t="shared" si="28"/>
        <v>13204154</v>
      </c>
      <c r="AI53" s="53">
        <f t="shared" si="29"/>
        <v>13204154</v>
      </c>
      <c r="AJ53" s="525">
        <f t="shared" si="30"/>
        <v>0</v>
      </c>
      <c r="AK53" s="52">
        <f t="shared" si="31"/>
        <v>0</v>
      </c>
      <c r="AL53" s="49">
        <f t="shared" si="32"/>
        <v>0</v>
      </c>
      <c r="AM53" s="49">
        <f t="shared" si="33"/>
        <v>13204154</v>
      </c>
      <c r="AN53" s="49">
        <f t="shared" si="34"/>
        <v>13975563</v>
      </c>
      <c r="AO53" s="49">
        <f t="shared" si="47"/>
        <v>1448.85</v>
      </c>
      <c r="AP53" s="49">
        <f>'Table 4 Level 3'!AE50</f>
        <v>9692158</v>
      </c>
      <c r="AQ53" s="49">
        <f t="shared" si="35"/>
        <v>1004.79</v>
      </c>
      <c r="AR53" s="525">
        <f t="shared" si="36"/>
        <v>23667721</v>
      </c>
      <c r="AS53" s="49">
        <f>AR53-'Table 2 Distribution &amp; Adjusts'!K50</f>
        <v>2049516.32412114</v>
      </c>
      <c r="AT53" s="525">
        <f t="shared" si="48"/>
        <v>2453.63</v>
      </c>
      <c r="AU53" s="48">
        <f t="shared" si="37"/>
        <v>65</v>
      </c>
      <c r="AV53" s="52">
        <f t="shared" si="49"/>
        <v>0.3762</v>
      </c>
      <c r="AW53" s="48">
        <f t="shared" si="38"/>
        <v>65</v>
      </c>
      <c r="AX53" s="49">
        <f t="shared" si="39"/>
        <v>39241179</v>
      </c>
      <c r="AY53" s="49">
        <f t="shared" si="50"/>
        <v>4068.13</v>
      </c>
      <c r="AZ53" s="48">
        <f t="shared" si="40"/>
        <v>4</v>
      </c>
      <c r="BA53" s="52">
        <f t="shared" si="41"/>
        <v>0.6238</v>
      </c>
      <c r="BB53" s="49">
        <f t="shared" si="51"/>
        <v>62908900</v>
      </c>
      <c r="BC53" s="49">
        <f t="shared" si="52"/>
        <v>6521.76</v>
      </c>
      <c r="BD53" s="48">
        <f t="shared" si="42"/>
        <v>9</v>
      </c>
      <c r="BE53" s="802">
        <v>35695.6504855826</v>
      </c>
      <c r="BF53" s="384">
        <f t="shared" si="43"/>
        <v>37755.6504855826</v>
      </c>
      <c r="BG53" s="520">
        <f t="shared" si="44"/>
        <v>6</v>
      </c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</row>
    <row r="54" spans="1:156" s="6" customFormat="1" ht="12.75">
      <c r="A54" s="666">
        <v>46</v>
      </c>
      <c r="B54" s="495" t="s">
        <v>51</v>
      </c>
      <c r="C54" s="495">
        <f>+'Table 8 Membership'!U54</f>
        <v>1347</v>
      </c>
      <c r="D54" s="495">
        <v>1181</v>
      </c>
      <c r="E54" s="469">
        <f t="shared" si="6"/>
        <v>640788</v>
      </c>
      <c r="F54" s="667">
        <f t="shared" si="45"/>
        <v>201</v>
      </c>
      <c r="G54" s="495">
        <f>+'[5]Sheet1'!C48</f>
        <v>626</v>
      </c>
      <c r="H54" s="469">
        <f t="shared" si="7"/>
        <v>98828</v>
      </c>
      <c r="I54" s="495">
        <f t="shared" si="8"/>
        <v>31</v>
      </c>
      <c r="J54" s="495">
        <f>+'[8]A'!C53</f>
        <v>248</v>
      </c>
      <c r="K54" s="469">
        <f t="shared" si="9"/>
        <v>1185936</v>
      </c>
      <c r="L54" s="495">
        <f t="shared" si="10"/>
        <v>372</v>
      </c>
      <c r="M54" s="495">
        <f>+'[8]A'!D53</f>
        <v>2</v>
      </c>
      <c r="N54" s="35">
        <f t="shared" si="11"/>
        <v>3188</v>
      </c>
      <c r="O54" s="34">
        <f t="shared" si="12"/>
        <v>1</v>
      </c>
      <c r="P54" s="34">
        <f t="shared" si="13"/>
        <v>6153</v>
      </c>
      <c r="Q54" s="366">
        <f t="shared" si="14"/>
        <v>0.16408</v>
      </c>
      <c r="R54" s="35">
        <f t="shared" si="15"/>
        <v>704548</v>
      </c>
      <c r="S54" s="34">
        <f t="shared" si="16"/>
        <v>221</v>
      </c>
      <c r="T54" s="34">
        <f t="shared" si="17"/>
        <v>826</v>
      </c>
      <c r="U54" s="126">
        <f t="shared" si="18"/>
        <v>2173</v>
      </c>
      <c r="V54" s="35">
        <f t="shared" si="19"/>
        <v>3188</v>
      </c>
      <c r="W54" s="35">
        <f t="shared" si="20"/>
        <v>6927524</v>
      </c>
      <c r="X54" s="38">
        <f>'Table 6 Local Wealth Factor'!L53</f>
        <v>0.5252963</v>
      </c>
      <c r="Y54" s="38">
        <f t="shared" si="21"/>
        <v>0.00224004</v>
      </c>
      <c r="Z54" s="38">
        <f t="shared" si="22"/>
        <v>0.00117668</v>
      </c>
      <c r="AA54" s="35">
        <f t="shared" si="46"/>
        <v>1273646</v>
      </c>
      <c r="AB54" s="39">
        <f t="shared" si="23"/>
        <v>0.1839</v>
      </c>
      <c r="AC54" s="524">
        <f t="shared" si="24"/>
        <v>5653878</v>
      </c>
      <c r="AD54" s="39">
        <f t="shared" si="25"/>
        <v>0.8161</v>
      </c>
      <c r="AE54" s="595">
        <f>'Table 7 Local Revenue'!AL53</f>
        <v>1463869</v>
      </c>
      <c r="AF54" s="35">
        <f t="shared" si="26"/>
        <v>190223</v>
      </c>
      <c r="AG54" s="42">
        <f t="shared" si="27"/>
        <v>0</v>
      </c>
      <c r="AH54" s="35">
        <f t="shared" si="28"/>
        <v>2286083</v>
      </c>
      <c r="AI54" s="40">
        <f t="shared" si="29"/>
        <v>190223</v>
      </c>
      <c r="AJ54" s="524">
        <f t="shared" si="30"/>
        <v>130269</v>
      </c>
      <c r="AK54" s="39">
        <f t="shared" si="31"/>
        <v>0.6848225503750861</v>
      </c>
      <c r="AL54" s="35">
        <f t="shared" si="32"/>
        <v>1435291</v>
      </c>
      <c r="AM54" s="35">
        <f t="shared" si="33"/>
        <v>320492</v>
      </c>
      <c r="AN54" s="35">
        <f t="shared" si="34"/>
        <v>5784147</v>
      </c>
      <c r="AO54" s="35">
        <f t="shared" si="47"/>
        <v>4294.1</v>
      </c>
      <c r="AP54" s="35">
        <f>'Table 4 Level 3'!AE51</f>
        <v>228130</v>
      </c>
      <c r="AQ54" s="35">
        <f t="shared" si="35"/>
        <v>169.36</v>
      </c>
      <c r="AR54" s="524">
        <f t="shared" si="36"/>
        <v>6012277</v>
      </c>
      <c r="AS54" s="35">
        <f>AR54-'Table 2 Distribution &amp; Adjusts'!K51</f>
        <v>238674.6060909424</v>
      </c>
      <c r="AT54" s="524">
        <f t="shared" si="48"/>
        <v>4463.46</v>
      </c>
      <c r="AU54" s="34">
        <f t="shared" si="37"/>
        <v>3</v>
      </c>
      <c r="AV54" s="39">
        <f t="shared" si="49"/>
        <v>0.8042</v>
      </c>
      <c r="AW54" s="34">
        <f t="shared" si="38"/>
        <v>7</v>
      </c>
      <c r="AX54" s="35">
        <f t="shared" si="39"/>
        <v>1463869</v>
      </c>
      <c r="AY54" s="35">
        <f t="shared" si="50"/>
        <v>1086.76</v>
      </c>
      <c r="AZ54" s="34">
        <f t="shared" si="40"/>
        <v>58</v>
      </c>
      <c r="BA54" s="39">
        <f t="shared" si="41"/>
        <v>0.1958</v>
      </c>
      <c r="BB54" s="35">
        <f t="shared" si="51"/>
        <v>7476146</v>
      </c>
      <c r="BC54" s="35">
        <f t="shared" si="52"/>
        <v>5550.22</v>
      </c>
      <c r="BD54" s="34">
        <f t="shared" si="42"/>
        <v>41</v>
      </c>
      <c r="BE54" s="801">
        <v>29840.9380227097</v>
      </c>
      <c r="BF54" s="383">
        <f t="shared" si="43"/>
        <v>31900.9380227097</v>
      </c>
      <c r="BG54" s="519">
        <f t="shared" si="44"/>
        <v>53</v>
      </c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</row>
    <row r="55" spans="1:156" s="6" customFormat="1" ht="12.75">
      <c r="A55" s="666">
        <v>47</v>
      </c>
      <c r="B55" s="495" t="s">
        <v>52</v>
      </c>
      <c r="C55" s="495">
        <f>+'Table 8 Membership'!U55</f>
        <v>3782</v>
      </c>
      <c r="D55" s="495">
        <v>2706</v>
      </c>
      <c r="E55" s="469">
        <f t="shared" si="6"/>
        <v>1466480</v>
      </c>
      <c r="F55" s="667">
        <f t="shared" si="45"/>
        <v>460</v>
      </c>
      <c r="G55" s="495">
        <f>+'[5]Sheet1'!C49</f>
        <v>1267</v>
      </c>
      <c r="H55" s="469">
        <f t="shared" si="7"/>
        <v>200844</v>
      </c>
      <c r="I55" s="495">
        <f t="shared" si="8"/>
        <v>63</v>
      </c>
      <c r="J55" s="495">
        <f>+'[8]A'!C54</f>
        <v>535</v>
      </c>
      <c r="K55" s="469">
        <f t="shared" si="9"/>
        <v>2559964</v>
      </c>
      <c r="L55" s="495">
        <f t="shared" si="10"/>
        <v>803</v>
      </c>
      <c r="M55" s="495">
        <f>+'[8]A'!D54</f>
        <v>81</v>
      </c>
      <c r="N55" s="35">
        <f t="shared" si="11"/>
        <v>156212</v>
      </c>
      <c r="O55" s="34">
        <f t="shared" si="12"/>
        <v>49</v>
      </c>
      <c r="P55" s="34">
        <f t="shared" si="13"/>
        <v>3718</v>
      </c>
      <c r="Q55" s="366">
        <f t="shared" si="14"/>
        <v>0.09915</v>
      </c>
      <c r="R55" s="35">
        <f t="shared" si="15"/>
        <v>1195500</v>
      </c>
      <c r="S55" s="34">
        <f t="shared" si="16"/>
        <v>375</v>
      </c>
      <c r="T55" s="34">
        <f t="shared" si="17"/>
        <v>1750</v>
      </c>
      <c r="U55" s="34">
        <f t="shared" si="18"/>
        <v>5532</v>
      </c>
      <c r="V55" s="35">
        <f t="shared" si="19"/>
        <v>3188</v>
      </c>
      <c r="W55" s="35">
        <f t="shared" si="20"/>
        <v>17636016</v>
      </c>
      <c r="X55" s="38">
        <f>'Table 6 Local Wealth Factor'!L54</f>
        <v>1.68795153</v>
      </c>
      <c r="Y55" s="38">
        <f t="shared" si="21"/>
        <v>0.00570267</v>
      </c>
      <c r="Z55" s="38">
        <f t="shared" si="22"/>
        <v>0.00962583</v>
      </c>
      <c r="AA55" s="35">
        <f t="shared" si="46"/>
        <v>10419059</v>
      </c>
      <c r="AB55" s="39">
        <f t="shared" si="23"/>
        <v>0.5908</v>
      </c>
      <c r="AC55" s="524">
        <f t="shared" si="24"/>
        <v>7216957</v>
      </c>
      <c r="AD55" s="39">
        <f t="shared" si="25"/>
        <v>0.4092</v>
      </c>
      <c r="AE55" s="595">
        <f>'Table 7 Local Revenue'!AL54</f>
        <v>17575042</v>
      </c>
      <c r="AF55" s="35">
        <f t="shared" si="26"/>
        <v>7155983</v>
      </c>
      <c r="AG55" s="42">
        <f t="shared" si="27"/>
        <v>0</v>
      </c>
      <c r="AH55" s="35">
        <f t="shared" si="28"/>
        <v>5819885</v>
      </c>
      <c r="AI55" s="40">
        <f t="shared" si="29"/>
        <v>5819885</v>
      </c>
      <c r="AJ55" s="524">
        <f t="shared" si="30"/>
        <v>0</v>
      </c>
      <c r="AK55" s="39">
        <f t="shared" si="31"/>
        <v>0</v>
      </c>
      <c r="AL55" s="35">
        <f t="shared" si="32"/>
        <v>0</v>
      </c>
      <c r="AM55" s="35">
        <f t="shared" si="33"/>
        <v>5819885</v>
      </c>
      <c r="AN55" s="35">
        <f t="shared" si="34"/>
        <v>7216957</v>
      </c>
      <c r="AO55" s="35">
        <f t="shared" si="47"/>
        <v>1908.24</v>
      </c>
      <c r="AP55" s="35">
        <f>'Table 4 Level 3'!AE52</f>
        <v>2599944</v>
      </c>
      <c r="AQ55" s="35">
        <f t="shared" si="35"/>
        <v>687.45</v>
      </c>
      <c r="AR55" s="524">
        <f t="shared" si="36"/>
        <v>9816901</v>
      </c>
      <c r="AS55" s="35">
        <f>AR55-'Table 2 Distribution &amp; Adjusts'!K52</f>
        <v>581911.8668905422</v>
      </c>
      <c r="AT55" s="524">
        <f t="shared" si="48"/>
        <v>2595.69</v>
      </c>
      <c r="AU55" s="34">
        <f t="shared" si="37"/>
        <v>61</v>
      </c>
      <c r="AV55" s="39">
        <f t="shared" si="49"/>
        <v>0.3768</v>
      </c>
      <c r="AW55" s="34">
        <f t="shared" si="38"/>
        <v>64</v>
      </c>
      <c r="AX55" s="35">
        <f t="shared" si="39"/>
        <v>16238944</v>
      </c>
      <c r="AY55" s="35">
        <f t="shared" si="50"/>
        <v>4293.75</v>
      </c>
      <c r="AZ55" s="34">
        <f t="shared" si="40"/>
        <v>2</v>
      </c>
      <c r="BA55" s="39">
        <f t="shared" si="41"/>
        <v>0.6232</v>
      </c>
      <c r="BB55" s="35">
        <f t="shared" si="51"/>
        <v>26055845</v>
      </c>
      <c r="BC55" s="35">
        <f t="shared" si="52"/>
        <v>6889.44</v>
      </c>
      <c r="BD55" s="34">
        <f t="shared" si="42"/>
        <v>5</v>
      </c>
      <c r="BE55" s="801">
        <v>35320.2816952831</v>
      </c>
      <c r="BF55" s="383">
        <f t="shared" si="43"/>
        <v>37380.2816952831</v>
      </c>
      <c r="BG55" s="519">
        <f t="shared" si="44"/>
        <v>8</v>
      </c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</row>
    <row r="56" spans="1:156" s="6" customFormat="1" ht="12.75">
      <c r="A56" s="666">
        <v>48</v>
      </c>
      <c r="B56" s="495" t="s">
        <v>568</v>
      </c>
      <c r="C56" s="495">
        <f>+'Table 8 Membership'!U56</f>
        <v>6110</v>
      </c>
      <c r="D56" s="495">
        <v>4665</v>
      </c>
      <c r="E56" s="469">
        <f t="shared" si="6"/>
        <v>2528084</v>
      </c>
      <c r="F56" s="667">
        <f t="shared" si="45"/>
        <v>793</v>
      </c>
      <c r="G56" s="495">
        <f>+'[5]Sheet1'!C50</f>
        <v>2004</v>
      </c>
      <c r="H56" s="469">
        <f t="shared" si="7"/>
        <v>318800</v>
      </c>
      <c r="I56" s="495">
        <f t="shared" si="8"/>
        <v>100</v>
      </c>
      <c r="J56" s="495">
        <f>+'[8]A'!C55</f>
        <v>1295</v>
      </c>
      <c r="K56" s="469">
        <f t="shared" si="9"/>
        <v>6194284</v>
      </c>
      <c r="L56" s="495">
        <f t="shared" si="10"/>
        <v>1943</v>
      </c>
      <c r="M56" s="495">
        <f>+'[8]A'!D55</f>
        <v>94</v>
      </c>
      <c r="N56" s="35">
        <f t="shared" si="11"/>
        <v>178528</v>
      </c>
      <c r="O56" s="34">
        <f t="shared" si="12"/>
        <v>56</v>
      </c>
      <c r="P56" s="34">
        <f t="shared" si="13"/>
        <v>1390</v>
      </c>
      <c r="Q56" s="366">
        <f t="shared" si="14"/>
        <v>0.03707</v>
      </c>
      <c r="R56" s="35">
        <f t="shared" si="15"/>
        <v>720488</v>
      </c>
      <c r="S56" s="34">
        <f t="shared" si="16"/>
        <v>226</v>
      </c>
      <c r="T56" s="34">
        <f t="shared" si="17"/>
        <v>3118</v>
      </c>
      <c r="U56" s="34">
        <f t="shared" si="18"/>
        <v>9228</v>
      </c>
      <c r="V56" s="35">
        <f t="shared" si="19"/>
        <v>3188</v>
      </c>
      <c r="W56" s="35">
        <f t="shared" si="20"/>
        <v>29418864</v>
      </c>
      <c r="X56" s="38">
        <f>'Table 6 Local Wealth Factor'!L55</f>
        <v>1.02112879</v>
      </c>
      <c r="Y56" s="38">
        <f t="shared" si="21"/>
        <v>0.0095127</v>
      </c>
      <c r="Z56" s="38">
        <f t="shared" si="22"/>
        <v>0.00971369</v>
      </c>
      <c r="AA56" s="35">
        <f t="shared" si="46"/>
        <v>10514160</v>
      </c>
      <c r="AB56" s="39">
        <f t="shared" si="23"/>
        <v>0.3574</v>
      </c>
      <c r="AC56" s="524">
        <f t="shared" si="24"/>
        <v>18904704</v>
      </c>
      <c r="AD56" s="39">
        <f t="shared" si="25"/>
        <v>0.6426</v>
      </c>
      <c r="AE56" s="595">
        <f>'Table 7 Local Revenue'!AL55</f>
        <v>19594703</v>
      </c>
      <c r="AF56" s="35">
        <f t="shared" si="26"/>
        <v>9080543</v>
      </c>
      <c r="AG56" s="42">
        <f t="shared" si="27"/>
        <v>0</v>
      </c>
      <c r="AH56" s="35">
        <f t="shared" si="28"/>
        <v>9708225</v>
      </c>
      <c r="AI56" s="40">
        <f t="shared" si="29"/>
        <v>9080543</v>
      </c>
      <c r="AJ56" s="524">
        <f t="shared" si="30"/>
        <v>3517101</v>
      </c>
      <c r="AK56" s="39">
        <f t="shared" si="31"/>
        <v>0.387322762526426</v>
      </c>
      <c r="AL56" s="35">
        <f t="shared" si="32"/>
        <v>243115</v>
      </c>
      <c r="AM56" s="35">
        <f t="shared" si="33"/>
        <v>12597644</v>
      </c>
      <c r="AN56" s="35">
        <f t="shared" si="34"/>
        <v>22421805</v>
      </c>
      <c r="AO56" s="35">
        <f t="shared" si="47"/>
        <v>3669.69</v>
      </c>
      <c r="AP56" s="35">
        <f>'Table 4 Level 3'!AE53</f>
        <v>1227298</v>
      </c>
      <c r="AQ56" s="35">
        <f t="shared" si="35"/>
        <v>200.87</v>
      </c>
      <c r="AR56" s="524">
        <f t="shared" si="36"/>
        <v>23649103</v>
      </c>
      <c r="AS56" s="35">
        <f>AR56-'Table 2 Distribution &amp; Adjusts'!K53</f>
        <v>670960.1577805169</v>
      </c>
      <c r="AT56" s="524">
        <f t="shared" si="48"/>
        <v>3870.56</v>
      </c>
      <c r="AU56" s="34">
        <f t="shared" si="37"/>
        <v>26</v>
      </c>
      <c r="AV56" s="39">
        <f t="shared" si="49"/>
        <v>0.5469</v>
      </c>
      <c r="AW56" s="34">
        <f t="shared" si="38"/>
        <v>51</v>
      </c>
      <c r="AX56" s="35">
        <f t="shared" si="39"/>
        <v>19594703</v>
      </c>
      <c r="AY56" s="35">
        <f t="shared" si="50"/>
        <v>3206.99</v>
      </c>
      <c r="AZ56" s="34">
        <f t="shared" si="40"/>
        <v>11</v>
      </c>
      <c r="BA56" s="39">
        <f t="shared" si="41"/>
        <v>0.4531</v>
      </c>
      <c r="BB56" s="35">
        <f t="shared" si="51"/>
        <v>43243806</v>
      </c>
      <c r="BC56" s="35">
        <f t="shared" si="52"/>
        <v>7077.55</v>
      </c>
      <c r="BD56" s="34">
        <f t="shared" si="42"/>
        <v>3</v>
      </c>
      <c r="BE56" s="801">
        <v>32857.7806388808</v>
      </c>
      <c r="BF56" s="383">
        <f t="shared" si="43"/>
        <v>34917.7806388808</v>
      </c>
      <c r="BG56" s="519">
        <f t="shared" si="44"/>
        <v>28</v>
      </c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</row>
    <row r="57" spans="1:156" s="6" customFormat="1" ht="12.75">
      <c r="A57" s="666">
        <v>49</v>
      </c>
      <c r="B57" s="495" t="s">
        <v>53</v>
      </c>
      <c r="C57" s="495">
        <f>+'Table 8 Membership'!U57</f>
        <v>15355</v>
      </c>
      <c r="D57" s="495">
        <v>11408</v>
      </c>
      <c r="E57" s="469">
        <f t="shared" si="6"/>
        <v>6181532</v>
      </c>
      <c r="F57" s="667">
        <f t="shared" si="45"/>
        <v>1939</v>
      </c>
      <c r="G57" s="495">
        <f>+'[5]Sheet1'!C51</f>
        <v>5570</v>
      </c>
      <c r="H57" s="469">
        <f t="shared" si="7"/>
        <v>889452</v>
      </c>
      <c r="I57" s="495">
        <f t="shared" si="8"/>
        <v>279</v>
      </c>
      <c r="J57" s="495">
        <f>+'[8]A'!C56</f>
        <v>2430</v>
      </c>
      <c r="K57" s="469">
        <f t="shared" si="9"/>
        <v>11620260</v>
      </c>
      <c r="L57" s="495">
        <f t="shared" si="10"/>
        <v>3645</v>
      </c>
      <c r="M57" s="495">
        <f>+'[8]A'!D56</f>
        <v>263</v>
      </c>
      <c r="N57" s="35">
        <f t="shared" si="11"/>
        <v>503704</v>
      </c>
      <c r="O57" s="34">
        <f t="shared" si="12"/>
        <v>158</v>
      </c>
      <c r="P57" s="34">
        <f t="shared" si="13"/>
        <v>0</v>
      </c>
      <c r="Q57" s="366">
        <f t="shared" si="14"/>
        <v>0</v>
      </c>
      <c r="R57" s="35">
        <f t="shared" si="15"/>
        <v>0</v>
      </c>
      <c r="S57" s="34">
        <f t="shared" si="16"/>
        <v>0</v>
      </c>
      <c r="T57" s="34">
        <f t="shared" si="17"/>
        <v>6021</v>
      </c>
      <c r="U57" s="34">
        <f t="shared" si="18"/>
        <v>21376</v>
      </c>
      <c r="V57" s="35">
        <f t="shared" si="19"/>
        <v>3188</v>
      </c>
      <c r="W57" s="35">
        <f t="shared" si="20"/>
        <v>68146688</v>
      </c>
      <c r="X57" s="38">
        <f>'Table 6 Local Wealth Factor'!L56</f>
        <v>0.57480551</v>
      </c>
      <c r="Y57" s="38">
        <f t="shared" si="21"/>
        <v>0.02203548</v>
      </c>
      <c r="Z57" s="38">
        <f t="shared" si="22"/>
        <v>0.01266612</v>
      </c>
      <c r="AA57" s="35">
        <f t="shared" si="46"/>
        <v>13709889</v>
      </c>
      <c r="AB57" s="39">
        <f t="shared" si="23"/>
        <v>0.2012</v>
      </c>
      <c r="AC57" s="524">
        <f t="shared" si="24"/>
        <v>54436799</v>
      </c>
      <c r="AD57" s="39">
        <f t="shared" si="25"/>
        <v>0.7988</v>
      </c>
      <c r="AE57" s="595">
        <f>'Table 7 Local Revenue'!AL56</f>
        <v>20576663</v>
      </c>
      <c r="AF57" s="35">
        <f t="shared" si="26"/>
        <v>6866774</v>
      </c>
      <c r="AG57" s="42">
        <f t="shared" si="27"/>
        <v>0</v>
      </c>
      <c r="AH57" s="35">
        <f t="shared" si="28"/>
        <v>22488407</v>
      </c>
      <c r="AI57" s="40">
        <f t="shared" si="29"/>
        <v>6866774</v>
      </c>
      <c r="AJ57" s="524">
        <f t="shared" si="30"/>
        <v>4498538</v>
      </c>
      <c r="AK57" s="39">
        <f t="shared" si="31"/>
        <v>0.6551166530309575</v>
      </c>
      <c r="AL57" s="35">
        <f t="shared" si="32"/>
        <v>10233993</v>
      </c>
      <c r="AM57" s="35">
        <f t="shared" si="33"/>
        <v>11365312</v>
      </c>
      <c r="AN57" s="35">
        <f t="shared" si="34"/>
        <v>58935337</v>
      </c>
      <c r="AO57" s="35">
        <f t="shared" si="47"/>
        <v>3838.19</v>
      </c>
      <c r="AP57" s="35">
        <f>'Table 4 Level 3'!AE54</f>
        <v>9468</v>
      </c>
      <c r="AQ57" s="35">
        <f t="shared" si="35"/>
        <v>0.62</v>
      </c>
      <c r="AR57" s="524">
        <f t="shared" si="36"/>
        <v>58944805</v>
      </c>
      <c r="AS57" s="35">
        <f>AR57-'Table 2 Distribution &amp; Adjusts'!K54</f>
        <v>2907383.780089274</v>
      </c>
      <c r="AT57" s="524">
        <f t="shared" si="48"/>
        <v>3838.8</v>
      </c>
      <c r="AU57" s="34">
        <f t="shared" si="37"/>
        <v>28</v>
      </c>
      <c r="AV57" s="39">
        <f t="shared" si="49"/>
        <v>0.7412</v>
      </c>
      <c r="AW57" s="34">
        <f t="shared" si="38"/>
        <v>17</v>
      </c>
      <c r="AX57" s="35">
        <f t="shared" si="39"/>
        <v>20576663</v>
      </c>
      <c r="AY57" s="35">
        <f t="shared" si="50"/>
        <v>1340.06</v>
      </c>
      <c r="AZ57" s="34">
        <f t="shared" si="40"/>
        <v>52</v>
      </c>
      <c r="BA57" s="39">
        <f t="shared" si="41"/>
        <v>0.2588</v>
      </c>
      <c r="BB57" s="35">
        <f t="shared" si="51"/>
        <v>79521468</v>
      </c>
      <c r="BC57" s="35">
        <f t="shared" si="52"/>
        <v>5178.86</v>
      </c>
      <c r="BD57" s="34">
        <f t="shared" si="42"/>
        <v>53</v>
      </c>
      <c r="BE57" s="801">
        <v>31856.6318169674</v>
      </c>
      <c r="BF57" s="383">
        <f t="shared" si="43"/>
        <v>33916.631816967405</v>
      </c>
      <c r="BG57" s="519">
        <f t="shared" si="44"/>
        <v>39</v>
      </c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</row>
    <row r="58" spans="1:156" s="54" customFormat="1" ht="12.75">
      <c r="A58" s="668">
        <v>50</v>
      </c>
      <c r="B58" s="498" t="s">
        <v>54</v>
      </c>
      <c r="C58" s="498">
        <f>+'Table 8 Membership'!U58</f>
        <v>8420</v>
      </c>
      <c r="D58" s="498">
        <v>5612</v>
      </c>
      <c r="E58" s="472">
        <f t="shared" si="6"/>
        <v>3041352</v>
      </c>
      <c r="F58" s="669">
        <f t="shared" si="45"/>
        <v>954</v>
      </c>
      <c r="G58" s="498">
        <f>+'[5]Sheet1'!C52</f>
        <v>2834</v>
      </c>
      <c r="H58" s="472">
        <f t="shared" si="7"/>
        <v>452696</v>
      </c>
      <c r="I58" s="498">
        <f t="shared" si="8"/>
        <v>142</v>
      </c>
      <c r="J58" s="495">
        <f>+'[8]A'!C57</f>
        <v>1315</v>
      </c>
      <c r="K58" s="472">
        <f t="shared" si="9"/>
        <v>6289924</v>
      </c>
      <c r="L58" s="498">
        <f t="shared" si="10"/>
        <v>1973</v>
      </c>
      <c r="M58" s="495">
        <f>+'[8]A'!D57</f>
        <v>65</v>
      </c>
      <c r="N58" s="49">
        <f t="shared" si="11"/>
        <v>124332</v>
      </c>
      <c r="O58" s="48">
        <f t="shared" si="12"/>
        <v>39</v>
      </c>
      <c r="P58" s="48">
        <f t="shared" si="13"/>
        <v>0</v>
      </c>
      <c r="Q58" s="367">
        <f t="shared" si="14"/>
        <v>0</v>
      </c>
      <c r="R58" s="49">
        <f t="shared" si="15"/>
        <v>0</v>
      </c>
      <c r="S58" s="48">
        <f t="shared" si="16"/>
        <v>0</v>
      </c>
      <c r="T58" s="48">
        <f t="shared" si="17"/>
        <v>3108</v>
      </c>
      <c r="U58" s="34">
        <f t="shared" si="18"/>
        <v>11528</v>
      </c>
      <c r="V58" s="49">
        <f t="shared" si="19"/>
        <v>3188</v>
      </c>
      <c r="W58" s="49">
        <f t="shared" si="20"/>
        <v>36751264</v>
      </c>
      <c r="X58" s="51">
        <f>'Table 6 Local Wealth Factor'!L57</f>
        <v>0.54828699</v>
      </c>
      <c r="Y58" s="51">
        <f t="shared" si="21"/>
        <v>0.01188365</v>
      </c>
      <c r="Z58" s="51">
        <f t="shared" si="22"/>
        <v>0.00651565</v>
      </c>
      <c r="AA58" s="49">
        <f t="shared" si="46"/>
        <v>7052581</v>
      </c>
      <c r="AB58" s="52">
        <f t="shared" si="23"/>
        <v>0.1919</v>
      </c>
      <c r="AC58" s="525">
        <f t="shared" si="24"/>
        <v>29698683</v>
      </c>
      <c r="AD58" s="52">
        <f t="shared" si="25"/>
        <v>0.8081</v>
      </c>
      <c r="AE58" s="596">
        <f>'Table 7 Local Revenue'!AL57</f>
        <v>11867801.5</v>
      </c>
      <c r="AF58" s="49">
        <f t="shared" si="26"/>
        <v>4815220.5</v>
      </c>
      <c r="AG58" s="61">
        <f t="shared" si="27"/>
        <v>0</v>
      </c>
      <c r="AH58" s="49">
        <f t="shared" si="28"/>
        <v>12127917</v>
      </c>
      <c r="AI58" s="53">
        <f t="shared" si="29"/>
        <v>4815220.5</v>
      </c>
      <c r="AJ58" s="525">
        <f t="shared" si="30"/>
        <v>3231147</v>
      </c>
      <c r="AK58" s="52">
        <f t="shared" si="31"/>
        <v>0.6710278376660009</v>
      </c>
      <c r="AL58" s="49">
        <f t="shared" si="32"/>
        <v>4907023</v>
      </c>
      <c r="AM58" s="49">
        <f t="shared" si="33"/>
        <v>8046367.5</v>
      </c>
      <c r="AN58" s="49">
        <f t="shared" si="34"/>
        <v>32929830</v>
      </c>
      <c r="AO58" s="49">
        <f t="shared" si="47"/>
        <v>3910.91</v>
      </c>
      <c r="AP58" s="49">
        <f>'Table 4 Level 3'!AE55</f>
        <v>627407</v>
      </c>
      <c r="AQ58" s="49">
        <f t="shared" si="35"/>
        <v>74.51</v>
      </c>
      <c r="AR58" s="525">
        <f t="shared" si="36"/>
        <v>33557237</v>
      </c>
      <c r="AS58" s="49">
        <f>AR58-'Table 2 Distribution &amp; Adjusts'!K55</f>
        <v>1469830.7149622291</v>
      </c>
      <c r="AT58" s="525">
        <f t="shared" si="48"/>
        <v>3985.42</v>
      </c>
      <c r="AU58" s="48">
        <f t="shared" si="37"/>
        <v>20</v>
      </c>
      <c r="AV58" s="52">
        <f t="shared" si="49"/>
        <v>0.7387</v>
      </c>
      <c r="AW58" s="48">
        <f t="shared" si="38"/>
        <v>19</v>
      </c>
      <c r="AX58" s="49">
        <f t="shared" si="39"/>
        <v>11867801.5</v>
      </c>
      <c r="AY58" s="49">
        <f t="shared" si="50"/>
        <v>1409.48</v>
      </c>
      <c r="AZ58" s="48">
        <f t="shared" si="40"/>
        <v>50</v>
      </c>
      <c r="BA58" s="52">
        <f t="shared" si="41"/>
        <v>0.2613</v>
      </c>
      <c r="BB58" s="49">
        <f t="shared" si="51"/>
        <v>45425038.5</v>
      </c>
      <c r="BC58" s="49">
        <f t="shared" si="52"/>
        <v>5394.9</v>
      </c>
      <c r="BD58" s="48">
        <f t="shared" si="42"/>
        <v>49</v>
      </c>
      <c r="BE58" s="802">
        <v>32213.6230520842</v>
      </c>
      <c r="BF58" s="384">
        <f t="shared" si="43"/>
        <v>34273.6230520842</v>
      </c>
      <c r="BG58" s="520">
        <f t="shared" si="44"/>
        <v>34</v>
      </c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</row>
    <row r="59" spans="1:156" s="6" customFormat="1" ht="12.75">
      <c r="A59" s="666">
        <v>51</v>
      </c>
      <c r="B59" s="495" t="s">
        <v>55</v>
      </c>
      <c r="C59" s="495">
        <f>+'Table 8 Membership'!U59</f>
        <v>10333</v>
      </c>
      <c r="D59" s="495">
        <v>6700</v>
      </c>
      <c r="E59" s="469">
        <f t="shared" si="6"/>
        <v>3631132</v>
      </c>
      <c r="F59" s="667">
        <f t="shared" si="45"/>
        <v>1139</v>
      </c>
      <c r="G59" s="495">
        <f>+'[5]Sheet1'!C53</f>
        <v>1798</v>
      </c>
      <c r="H59" s="469">
        <f t="shared" si="7"/>
        <v>286920</v>
      </c>
      <c r="I59" s="495">
        <f t="shared" si="8"/>
        <v>90</v>
      </c>
      <c r="J59" s="495">
        <f>+'[8]A'!C58</f>
        <v>1609</v>
      </c>
      <c r="K59" s="469">
        <f t="shared" si="9"/>
        <v>7695832</v>
      </c>
      <c r="L59" s="495">
        <f t="shared" si="10"/>
        <v>2414</v>
      </c>
      <c r="M59" s="495">
        <f>+'[8]A'!D58</f>
        <v>204</v>
      </c>
      <c r="N59" s="35">
        <f t="shared" si="11"/>
        <v>388936</v>
      </c>
      <c r="O59" s="34">
        <f t="shared" si="12"/>
        <v>122</v>
      </c>
      <c r="P59" s="34">
        <f t="shared" si="13"/>
        <v>0</v>
      </c>
      <c r="Q59" s="366">
        <f t="shared" si="14"/>
        <v>0</v>
      </c>
      <c r="R59" s="35">
        <f t="shared" si="15"/>
        <v>0</v>
      </c>
      <c r="S59" s="34">
        <f t="shared" si="16"/>
        <v>0</v>
      </c>
      <c r="T59" s="34">
        <f t="shared" si="17"/>
        <v>3765</v>
      </c>
      <c r="U59" s="126">
        <f t="shared" si="18"/>
        <v>14098</v>
      </c>
      <c r="V59" s="35">
        <f t="shared" si="19"/>
        <v>3188</v>
      </c>
      <c r="W59" s="35">
        <f t="shared" si="20"/>
        <v>44944424</v>
      </c>
      <c r="X59" s="38">
        <f>'Table 6 Local Wealth Factor'!L58</f>
        <v>0.87403298</v>
      </c>
      <c r="Y59" s="38">
        <f t="shared" si="21"/>
        <v>0.01453294</v>
      </c>
      <c r="Z59" s="38">
        <f t="shared" si="22"/>
        <v>0.01270227</v>
      </c>
      <c r="AA59" s="35">
        <f t="shared" si="46"/>
        <v>13749018</v>
      </c>
      <c r="AB59" s="39">
        <f t="shared" si="23"/>
        <v>0.3059</v>
      </c>
      <c r="AC59" s="524">
        <f t="shared" si="24"/>
        <v>31195406</v>
      </c>
      <c r="AD59" s="39">
        <f t="shared" si="25"/>
        <v>0.6941</v>
      </c>
      <c r="AE59" s="595">
        <f>'Table 7 Local Revenue'!AL58</f>
        <v>22060819.5</v>
      </c>
      <c r="AF59" s="35">
        <f t="shared" si="26"/>
        <v>8311801.5</v>
      </c>
      <c r="AG59" s="42">
        <f t="shared" si="27"/>
        <v>0</v>
      </c>
      <c r="AH59" s="35">
        <f t="shared" si="28"/>
        <v>14831660</v>
      </c>
      <c r="AI59" s="40">
        <f t="shared" si="29"/>
        <v>8311801.5</v>
      </c>
      <c r="AJ59" s="524">
        <f t="shared" si="30"/>
        <v>3952928</v>
      </c>
      <c r="AK59" s="39">
        <f t="shared" si="31"/>
        <v>0.4755801735640583</v>
      </c>
      <c r="AL59" s="35">
        <f t="shared" si="32"/>
        <v>3100716</v>
      </c>
      <c r="AM59" s="35">
        <f t="shared" si="33"/>
        <v>12264729.5</v>
      </c>
      <c r="AN59" s="35">
        <f t="shared" si="34"/>
        <v>35148334</v>
      </c>
      <c r="AO59" s="35">
        <f t="shared" si="47"/>
        <v>3401.56</v>
      </c>
      <c r="AP59" s="35">
        <f>'Table 4 Level 3'!AE56</f>
        <v>392383</v>
      </c>
      <c r="AQ59" s="35">
        <f t="shared" si="35"/>
        <v>37.97</v>
      </c>
      <c r="AR59" s="524">
        <f t="shared" si="36"/>
        <v>35540717</v>
      </c>
      <c r="AS59" s="35">
        <f>AR59-'Table 2 Distribution &amp; Adjusts'!K56</f>
        <v>1727795.4035046622</v>
      </c>
      <c r="AT59" s="524">
        <f t="shared" si="48"/>
        <v>3439.54</v>
      </c>
      <c r="AU59" s="34">
        <f t="shared" si="37"/>
        <v>46</v>
      </c>
      <c r="AV59" s="39">
        <f t="shared" si="49"/>
        <v>0.617</v>
      </c>
      <c r="AW59" s="34">
        <f t="shared" si="38"/>
        <v>42</v>
      </c>
      <c r="AX59" s="35">
        <f t="shared" si="39"/>
        <v>22060819.5</v>
      </c>
      <c r="AY59" s="35">
        <f t="shared" si="50"/>
        <v>2134.99</v>
      </c>
      <c r="AZ59" s="34">
        <f t="shared" si="40"/>
        <v>27</v>
      </c>
      <c r="BA59" s="39">
        <f t="shared" si="41"/>
        <v>0.383</v>
      </c>
      <c r="BB59" s="35">
        <f t="shared" si="51"/>
        <v>57601536.5</v>
      </c>
      <c r="BC59" s="35">
        <f t="shared" si="52"/>
        <v>5574.52</v>
      </c>
      <c r="BD59" s="34">
        <f t="shared" si="42"/>
        <v>40</v>
      </c>
      <c r="BE59" s="801">
        <v>33078.7637482505</v>
      </c>
      <c r="BF59" s="383">
        <f t="shared" si="43"/>
        <v>35138.7637482505</v>
      </c>
      <c r="BG59" s="519">
        <f t="shared" si="44"/>
        <v>26</v>
      </c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</row>
    <row r="60" spans="1:156" s="6" customFormat="1" ht="12.75">
      <c r="A60" s="666">
        <v>52</v>
      </c>
      <c r="B60" s="495" t="s">
        <v>56</v>
      </c>
      <c r="C60" s="495">
        <f>+'Table 8 Membership'!U60</f>
        <v>32870</v>
      </c>
      <c r="D60" s="495">
        <v>9659</v>
      </c>
      <c r="E60" s="469">
        <f t="shared" si="6"/>
        <v>5234696</v>
      </c>
      <c r="F60" s="667">
        <f t="shared" si="45"/>
        <v>1642</v>
      </c>
      <c r="G60" s="495">
        <f>+'[5]Sheet1'!C54</f>
        <v>5432</v>
      </c>
      <c r="H60" s="469">
        <f t="shared" si="7"/>
        <v>867136</v>
      </c>
      <c r="I60" s="495">
        <f t="shared" si="8"/>
        <v>272</v>
      </c>
      <c r="J60" s="495">
        <f>+'[8]A'!C59</f>
        <v>5335</v>
      </c>
      <c r="K60" s="469">
        <f t="shared" si="9"/>
        <v>25513564</v>
      </c>
      <c r="L60" s="495">
        <f t="shared" si="10"/>
        <v>8003</v>
      </c>
      <c r="M60" s="495">
        <f>+'[8]A'!D59</f>
        <v>2884</v>
      </c>
      <c r="N60" s="35">
        <f t="shared" si="11"/>
        <v>5515240</v>
      </c>
      <c r="O60" s="34">
        <f t="shared" si="12"/>
        <v>1730</v>
      </c>
      <c r="P60" s="34">
        <f t="shared" si="13"/>
        <v>0</v>
      </c>
      <c r="Q60" s="366">
        <f t="shared" si="14"/>
        <v>0</v>
      </c>
      <c r="R60" s="35">
        <f t="shared" si="15"/>
        <v>0</v>
      </c>
      <c r="S60" s="34">
        <f t="shared" si="16"/>
        <v>0</v>
      </c>
      <c r="T60" s="34">
        <f t="shared" si="17"/>
        <v>11647</v>
      </c>
      <c r="U60" s="34">
        <f t="shared" si="18"/>
        <v>44517</v>
      </c>
      <c r="V60" s="35">
        <f t="shared" si="19"/>
        <v>3188</v>
      </c>
      <c r="W60" s="35">
        <f t="shared" si="20"/>
        <v>141920196</v>
      </c>
      <c r="X60" s="38">
        <f>'Table 6 Local Wealth Factor'!L59</f>
        <v>0.83050146</v>
      </c>
      <c r="Y60" s="38">
        <f t="shared" si="21"/>
        <v>0.04589041</v>
      </c>
      <c r="Z60" s="38">
        <f t="shared" si="22"/>
        <v>0.03811205</v>
      </c>
      <c r="AA60" s="35">
        <f t="shared" si="46"/>
        <v>41252724</v>
      </c>
      <c r="AB60" s="39">
        <f t="shared" si="23"/>
        <v>0.2907</v>
      </c>
      <c r="AC60" s="524">
        <f t="shared" si="24"/>
        <v>100667472</v>
      </c>
      <c r="AD60" s="39">
        <f t="shared" si="25"/>
        <v>0.7093</v>
      </c>
      <c r="AE60" s="595">
        <f>'Table 7 Local Revenue'!AL59</f>
        <v>95226203</v>
      </c>
      <c r="AF60" s="35">
        <f t="shared" si="26"/>
        <v>53973479</v>
      </c>
      <c r="AG60" s="42">
        <f t="shared" si="27"/>
        <v>0</v>
      </c>
      <c r="AH60" s="35">
        <f t="shared" si="28"/>
        <v>46833665</v>
      </c>
      <c r="AI60" s="40">
        <f t="shared" si="29"/>
        <v>46833665</v>
      </c>
      <c r="AJ60" s="524">
        <f t="shared" si="30"/>
        <v>23496409</v>
      </c>
      <c r="AK60" s="39">
        <f t="shared" si="31"/>
        <v>0.5016991303157675</v>
      </c>
      <c r="AL60" s="35">
        <f t="shared" si="32"/>
        <v>0</v>
      </c>
      <c r="AM60" s="35">
        <f t="shared" si="33"/>
        <v>70330074</v>
      </c>
      <c r="AN60" s="35">
        <f t="shared" si="34"/>
        <v>124163881</v>
      </c>
      <c r="AO60" s="35">
        <f t="shared" si="47"/>
        <v>3777.42</v>
      </c>
      <c r="AP60" s="35">
        <f>'Table 4 Level 3'!AE57</f>
        <v>329613</v>
      </c>
      <c r="AQ60" s="35">
        <f t="shared" si="35"/>
        <v>10.03</v>
      </c>
      <c r="AR60" s="524">
        <f t="shared" si="36"/>
        <v>124493494</v>
      </c>
      <c r="AS60" s="35">
        <f>AR60-'Table 2 Distribution &amp; Adjusts'!K57</f>
        <v>6751284.678649977</v>
      </c>
      <c r="AT60" s="524">
        <f t="shared" si="48"/>
        <v>3787.45</v>
      </c>
      <c r="AU60" s="34">
        <f t="shared" si="37"/>
        <v>31</v>
      </c>
      <c r="AV60" s="39">
        <f t="shared" si="49"/>
        <v>0.5856</v>
      </c>
      <c r="AW60" s="34">
        <f t="shared" si="38"/>
        <v>45</v>
      </c>
      <c r="AX60" s="35">
        <f t="shared" si="39"/>
        <v>88086389</v>
      </c>
      <c r="AY60" s="35">
        <f t="shared" si="50"/>
        <v>2679.84</v>
      </c>
      <c r="AZ60" s="34">
        <f t="shared" si="40"/>
        <v>18</v>
      </c>
      <c r="BA60" s="39">
        <f t="shared" si="41"/>
        <v>0.4144</v>
      </c>
      <c r="BB60" s="35">
        <f t="shared" si="51"/>
        <v>212579883</v>
      </c>
      <c r="BC60" s="35">
        <f t="shared" si="52"/>
        <v>6467.29</v>
      </c>
      <c r="BD60" s="34">
        <f t="shared" si="42"/>
        <v>11</v>
      </c>
      <c r="BE60" s="801">
        <v>35632.1856579371</v>
      </c>
      <c r="BF60" s="383">
        <f t="shared" si="43"/>
        <v>37692.1856579371</v>
      </c>
      <c r="BG60" s="519">
        <f t="shared" si="44"/>
        <v>7</v>
      </c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</row>
    <row r="61" spans="1:156" s="6" customFormat="1" ht="12.75">
      <c r="A61" s="666">
        <v>53</v>
      </c>
      <c r="B61" s="495" t="s">
        <v>57</v>
      </c>
      <c r="C61" s="495">
        <f>+'Table 8 Membership'!U61</f>
        <v>17911</v>
      </c>
      <c r="D61" s="495">
        <v>11734</v>
      </c>
      <c r="E61" s="469">
        <f t="shared" si="6"/>
        <v>6360060</v>
      </c>
      <c r="F61" s="667">
        <f t="shared" si="45"/>
        <v>1995</v>
      </c>
      <c r="G61" s="495">
        <f>+'[5]Sheet1'!C55</f>
        <v>3568</v>
      </c>
      <c r="H61" s="469">
        <f t="shared" si="7"/>
        <v>567464</v>
      </c>
      <c r="I61" s="495">
        <f t="shared" si="8"/>
        <v>178</v>
      </c>
      <c r="J61" s="495">
        <f>+'[8]A'!C60</f>
        <v>2577</v>
      </c>
      <c r="K61" s="469">
        <f t="shared" si="9"/>
        <v>12324808</v>
      </c>
      <c r="L61" s="495">
        <f t="shared" si="10"/>
        <v>3866</v>
      </c>
      <c r="M61" s="495">
        <f>+'[8]A'!D60</f>
        <v>206</v>
      </c>
      <c r="N61" s="35">
        <f t="shared" si="11"/>
        <v>395312</v>
      </c>
      <c r="O61" s="34">
        <f t="shared" si="12"/>
        <v>124</v>
      </c>
      <c r="P61" s="34">
        <f t="shared" si="13"/>
        <v>0</v>
      </c>
      <c r="Q61" s="366">
        <f t="shared" si="14"/>
        <v>0</v>
      </c>
      <c r="R61" s="35">
        <f t="shared" si="15"/>
        <v>0</v>
      </c>
      <c r="S61" s="34">
        <f t="shared" si="16"/>
        <v>0</v>
      </c>
      <c r="T61" s="34">
        <f t="shared" si="17"/>
        <v>6163</v>
      </c>
      <c r="U61" s="34">
        <f t="shared" si="18"/>
        <v>24074</v>
      </c>
      <c r="V61" s="35">
        <f t="shared" si="19"/>
        <v>3188</v>
      </c>
      <c r="W61" s="35">
        <f t="shared" si="20"/>
        <v>76747912</v>
      </c>
      <c r="X61" s="38">
        <f>'Table 6 Local Wealth Factor'!L60</f>
        <v>0.64132228</v>
      </c>
      <c r="Y61" s="38">
        <f t="shared" si="21"/>
        <v>0.02481671</v>
      </c>
      <c r="Z61" s="38">
        <f t="shared" si="22"/>
        <v>0.01591551</v>
      </c>
      <c r="AA61" s="35">
        <f t="shared" si="46"/>
        <v>17227049</v>
      </c>
      <c r="AB61" s="39">
        <f t="shared" si="23"/>
        <v>0.2245</v>
      </c>
      <c r="AC61" s="524">
        <f t="shared" si="24"/>
        <v>59520863</v>
      </c>
      <c r="AD61" s="39">
        <f t="shared" si="25"/>
        <v>0.7755</v>
      </c>
      <c r="AE61" s="595">
        <f>'Table 7 Local Revenue'!AL60</f>
        <v>25322485</v>
      </c>
      <c r="AF61" s="35">
        <f t="shared" si="26"/>
        <v>8095436</v>
      </c>
      <c r="AG61" s="42">
        <f t="shared" si="27"/>
        <v>0</v>
      </c>
      <c r="AH61" s="35">
        <f t="shared" si="28"/>
        <v>25326811</v>
      </c>
      <c r="AI61" s="40">
        <f t="shared" si="29"/>
        <v>8095436</v>
      </c>
      <c r="AJ61" s="524">
        <f t="shared" si="30"/>
        <v>4980366</v>
      </c>
      <c r="AK61" s="39">
        <f t="shared" si="31"/>
        <v>0.6152066423599668</v>
      </c>
      <c r="AL61" s="35">
        <f t="shared" si="32"/>
        <v>10600856</v>
      </c>
      <c r="AM61" s="35">
        <f t="shared" si="33"/>
        <v>13075802</v>
      </c>
      <c r="AN61" s="35">
        <f t="shared" si="34"/>
        <v>64501229</v>
      </c>
      <c r="AO61" s="35">
        <f t="shared" si="47"/>
        <v>3601.21</v>
      </c>
      <c r="AP61" s="35">
        <f>'Table 4 Level 3'!AE58</f>
        <v>2240078</v>
      </c>
      <c r="AQ61" s="35">
        <f t="shared" si="35"/>
        <v>125.07</v>
      </c>
      <c r="AR61" s="524">
        <f t="shared" si="36"/>
        <v>66741307</v>
      </c>
      <c r="AS61" s="35">
        <f>AR61-'Table 2 Distribution &amp; Adjusts'!K58</f>
        <v>2645939.7705056593</v>
      </c>
      <c r="AT61" s="524">
        <f t="shared" si="48"/>
        <v>3726.27</v>
      </c>
      <c r="AU61" s="34">
        <f t="shared" si="37"/>
        <v>34</v>
      </c>
      <c r="AV61" s="39">
        <f t="shared" si="49"/>
        <v>0.7249</v>
      </c>
      <c r="AW61" s="34">
        <f t="shared" si="38"/>
        <v>23</v>
      </c>
      <c r="AX61" s="35">
        <f t="shared" si="39"/>
        <v>25322485</v>
      </c>
      <c r="AY61" s="35">
        <f t="shared" si="50"/>
        <v>1413.8</v>
      </c>
      <c r="AZ61" s="34">
        <f t="shared" si="40"/>
        <v>49</v>
      </c>
      <c r="BA61" s="39">
        <f t="shared" si="41"/>
        <v>0.2751</v>
      </c>
      <c r="BB61" s="35">
        <f t="shared" si="51"/>
        <v>92063792</v>
      </c>
      <c r="BC61" s="35">
        <f t="shared" si="52"/>
        <v>5140.07</v>
      </c>
      <c r="BD61" s="34">
        <f t="shared" si="42"/>
        <v>54</v>
      </c>
      <c r="BE61" s="801">
        <v>36362.5641591263</v>
      </c>
      <c r="BF61" s="383">
        <f t="shared" si="43"/>
        <v>38422.5641591263</v>
      </c>
      <c r="BG61" s="519">
        <f t="shared" si="44"/>
        <v>2</v>
      </c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</row>
    <row r="62" spans="1:156" s="6" customFormat="1" ht="12.75">
      <c r="A62" s="666">
        <v>54</v>
      </c>
      <c r="B62" s="495" t="s">
        <v>58</v>
      </c>
      <c r="C62" s="495">
        <f>+'Table 8 Membership'!U62</f>
        <v>954</v>
      </c>
      <c r="D62" s="495">
        <v>759</v>
      </c>
      <c r="E62" s="469">
        <f t="shared" si="6"/>
        <v>411252</v>
      </c>
      <c r="F62" s="667">
        <f t="shared" si="45"/>
        <v>129</v>
      </c>
      <c r="G62" s="495">
        <f>+'[5]Sheet1'!C56</f>
        <v>452</v>
      </c>
      <c r="H62" s="469">
        <f t="shared" si="7"/>
        <v>73324</v>
      </c>
      <c r="I62" s="495">
        <f t="shared" si="8"/>
        <v>23</v>
      </c>
      <c r="J62" s="495">
        <f>+'[8]A'!C61</f>
        <v>222</v>
      </c>
      <c r="K62" s="469">
        <f t="shared" si="9"/>
        <v>1061604</v>
      </c>
      <c r="L62" s="495">
        <f t="shared" si="10"/>
        <v>333</v>
      </c>
      <c r="M62" s="495">
        <f>+'[8]A'!D61</f>
        <v>76</v>
      </c>
      <c r="N62" s="35">
        <f t="shared" si="11"/>
        <v>146648</v>
      </c>
      <c r="O62" s="34">
        <f t="shared" si="12"/>
        <v>46</v>
      </c>
      <c r="P62" s="34">
        <f t="shared" si="13"/>
        <v>6546</v>
      </c>
      <c r="Q62" s="366">
        <f t="shared" si="14"/>
        <v>0.17456</v>
      </c>
      <c r="R62" s="35">
        <f t="shared" si="15"/>
        <v>532396</v>
      </c>
      <c r="S62" s="34">
        <f t="shared" si="16"/>
        <v>167</v>
      </c>
      <c r="T62" s="34">
        <f t="shared" si="17"/>
        <v>698</v>
      </c>
      <c r="U62" s="34">
        <f t="shared" si="18"/>
        <v>1652</v>
      </c>
      <c r="V62" s="35">
        <f t="shared" si="19"/>
        <v>3188</v>
      </c>
      <c r="W62" s="35">
        <f t="shared" si="20"/>
        <v>5266576</v>
      </c>
      <c r="X62" s="38">
        <f>'Table 6 Local Wealth Factor'!L61</f>
        <v>0.76406635</v>
      </c>
      <c r="Y62" s="38">
        <f t="shared" si="21"/>
        <v>0.00170297</v>
      </c>
      <c r="Z62" s="38">
        <f t="shared" si="22"/>
        <v>0.00130118</v>
      </c>
      <c r="AA62" s="35">
        <f t="shared" si="46"/>
        <v>1408405</v>
      </c>
      <c r="AB62" s="39">
        <f t="shared" si="23"/>
        <v>0.2674</v>
      </c>
      <c r="AC62" s="524">
        <f t="shared" si="24"/>
        <v>3858171</v>
      </c>
      <c r="AD62" s="39">
        <f t="shared" si="25"/>
        <v>0.7326</v>
      </c>
      <c r="AE62" s="595">
        <f>'Table 7 Local Revenue'!AL61</f>
        <v>1798679.5</v>
      </c>
      <c r="AF62" s="35">
        <f t="shared" si="26"/>
        <v>390274.5</v>
      </c>
      <c r="AG62" s="42">
        <f t="shared" si="27"/>
        <v>0</v>
      </c>
      <c r="AH62" s="35">
        <f t="shared" si="28"/>
        <v>1737970</v>
      </c>
      <c r="AI62" s="40">
        <f t="shared" si="29"/>
        <v>390274.5</v>
      </c>
      <c r="AJ62" s="524">
        <f t="shared" si="30"/>
        <v>211357</v>
      </c>
      <c r="AK62" s="39">
        <f t="shared" si="31"/>
        <v>0.5415598508229464</v>
      </c>
      <c r="AL62" s="35">
        <f t="shared" si="32"/>
        <v>729858</v>
      </c>
      <c r="AM62" s="35">
        <f t="shared" si="33"/>
        <v>601631.5</v>
      </c>
      <c r="AN62" s="35">
        <f t="shared" si="34"/>
        <v>4069528</v>
      </c>
      <c r="AO62" s="35">
        <f t="shared" si="47"/>
        <v>4265.75</v>
      </c>
      <c r="AP62" s="35">
        <f>'Table 4 Level 3'!AE59</f>
        <v>179364</v>
      </c>
      <c r="AQ62" s="35">
        <f t="shared" si="35"/>
        <v>188.01</v>
      </c>
      <c r="AR62" s="524">
        <f t="shared" si="36"/>
        <v>4248892</v>
      </c>
      <c r="AS62" s="35">
        <f>AR62-'Table 2 Distribution &amp; Adjusts'!K59</f>
        <v>217968.85357082775</v>
      </c>
      <c r="AT62" s="524">
        <f t="shared" si="48"/>
        <v>4453.77</v>
      </c>
      <c r="AU62" s="34">
        <f t="shared" si="37"/>
        <v>4</v>
      </c>
      <c r="AV62" s="39">
        <f t="shared" si="49"/>
        <v>0.7026</v>
      </c>
      <c r="AW62" s="34">
        <f t="shared" si="38"/>
        <v>28</v>
      </c>
      <c r="AX62" s="35">
        <f t="shared" si="39"/>
        <v>1798679.5</v>
      </c>
      <c r="AY62" s="35">
        <f t="shared" si="50"/>
        <v>1885.41</v>
      </c>
      <c r="AZ62" s="34">
        <f t="shared" si="40"/>
        <v>35</v>
      </c>
      <c r="BA62" s="39">
        <f t="shared" si="41"/>
        <v>0.2974</v>
      </c>
      <c r="BB62" s="35">
        <f t="shared" si="51"/>
        <v>6047571.5</v>
      </c>
      <c r="BC62" s="35">
        <f t="shared" si="52"/>
        <v>6339.17</v>
      </c>
      <c r="BD62" s="34">
        <f t="shared" si="42"/>
        <v>14</v>
      </c>
      <c r="BE62" s="801">
        <v>26656.9230344835</v>
      </c>
      <c r="BF62" s="383">
        <f t="shared" si="43"/>
        <v>28716.9230344835</v>
      </c>
      <c r="BG62" s="519">
        <f t="shared" si="44"/>
        <v>65</v>
      </c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</row>
    <row r="63" spans="1:156" s="54" customFormat="1" ht="12.75">
      <c r="A63" s="668">
        <v>55</v>
      </c>
      <c r="B63" s="498" t="s">
        <v>59</v>
      </c>
      <c r="C63" s="498">
        <f>+'Table 8 Membership'!U63</f>
        <v>19285</v>
      </c>
      <c r="D63" s="498">
        <v>11094</v>
      </c>
      <c r="E63" s="472">
        <f t="shared" si="6"/>
        <v>6012568</v>
      </c>
      <c r="F63" s="669">
        <f t="shared" si="45"/>
        <v>1886</v>
      </c>
      <c r="G63" s="498">
        <f>+'[5]Sheet1'!C57</f>
        <v>6410</v>
      </c>
      <c r="H63" s="472">
        <f t="shared" si="7"/>
        <v>1023348</v>
      </c>
      <c r="I63" s="498">
        <f t="shared" si="8"/>
        <v>321</v>
      </c>
      <c r="J63" s="495">
        <f>+'[8]A'!C62</f>
        <v>3170</v>
      </c>
      <c r="K63" s="472">
        <f t="shared" si="9"/>
        <v>15158940</v>
      </c>
      <c r="L63" s="498">
        <f t="shared" si="10"/>
        <v>4755</v>
      </c>
      <c r="M63" s="495">
        <f>+'[8]A'!D62</f>
        <v>664</v>
      </c>
      <c r="N63" s="49">
        <f t="shared" si="11"/>
        <v>1268824</v>
      </c>
      <c r="O63" s="48">
        <f t="shared" si="12"/>
        <v>398</v>
      </c>
      <c r="P63" s="48">
        <f t="shared" si="13"/>
        <v>0</v>
      </c>
      <c r="Q63" s="367">
        <f t="shared" si="14"/>
        <v>0</v>
      </c>
      <c r="R63" s="49">
        <f t="shared" si="15"/>
        <v>0</v>
      </c>
      <c r="S63" s="48">
        <f t="shared" si="16"/>
        <v>0</v>
      </c>
      <c r="T63" s="48">
        <f t="shared" si="17"/>
        <v>7360</v>
      </c>
      <c r="U63" s="34">
        <f t="shared" si="18"/>
        <v>26645</v>
      </c>
      <c r="V63" s="49">
        <f t="shared" si="19"/>
        <v>3188</v>
      </c>
      <c r="W63" s="49">
        <f t="shared" si="20"/>
        <v>84944260</v>
      </c>
      <c r="X63" s="51">
        <f>'Table 6 Local Wealth Factor'!L62</f>
        <v>0.88713708</v>
      </c>
      <c r="Y63" s="51">
        <f t="shared" si="21"/>
        <v>0.02746703</v>
      </c>
      <c r="Z63" s="51">
        <f t="shared" si="22"/>
        <v>0.02436702</v>
      </c>
      <c r="AA63" s="49">
        <f t="shared" si="46"/>
        <v>26375017</v>
      </c>
      <c r="AB63" s="52">
        <f t="shared" si="23"/>
        <v>0.3105</v>
      </c>
      <c r="AC63" s="525">
        <f t="shared" si="24"/>
        <v>58569243</v>
      </c>
      <c r="AD63" s="52">
        <f t="shared" si="25"/>
        <v>0.6895</v>
      </c>
      <c r="AE63" s="596">
        <f>'Table 7 Local Revenue'!AL62</f>
        <v>38536562.5</v>
      </c>
      <c r="AF63" s="49">
        <f t="shared" si="26"/>
        <v>12161545.5</v>
      </c>
      <c r="AG63" s="61">
        <f t="shared" si="27"/>
        <v>0</v>
      </c>
      <c r="AH63" s="49">
        <f t="shared" si="28"/>
        <v>28031606</v>
      </c>
      <c r="AI63" s="53">
        <f t="shared" si="29"/>
        <v>12161545.5</v>
      </c>
      <c r="AJ63" s="525">
        <f t="shared" si="30"/>
        <v>5688171</v>
      </c>
      <c r="AK63" s="52">
        <f t="shared" si="31"/>
        <v>0.4677177748502442</v>
      </c>
      <c r="AL63" s="49">
        <f t="shared" si="32"/>
        <v>7422709</v>
      </c>
      <c r="AM63" s="49">
        <f t="shared" si="33"/>
        <v>17849716.5</v>
      </c>
      <c r="AN63" s="49">
        <f t="shared" si="34"/>
        <v>64257414</v>
      </c>
      <c r="AO63" s="49">
        <f t="shared" si="47"/>
        <v>3331.99</v>
      </c>
      <c r="AP63" s="49">
        <f>'Table 4 Level 3'!AE60</f>
        <v>2930657</v>
      </c>
      <c r="AQ63" s="49">
        <f t="shared" si="35"/>
        <v>151.97</v>
      </c>
      <c r="AR63" s="525">
        <f t="shared" si="36"/>
        <v>67188071</v>
      </c>
      <c r="AS63" s="49">
        <f>AR63-'Table 2 Distribution &amp; Adjusts'!K60</f>
        <v>3258189.9799622595</v>
      </c>
      <c r="AT63" s="525">
        <f t="shared" si="48"/>
        <v>3483.95</v>
      </c>
      <c r="AU63" s="48">
        <f t="shared" si="37"/>
        <v>44</v>
      </c>
      <c r="AV63" s="52">
        <f t="shared" si="49"/>
        <v>0.6355</v>
      </c>
      <c r="AW63" s="48">
        <f t="shared" si="38"/>
        <v>37</v>
      </c>
      <c r="AX63" s="49">
        <f t="shared" si="39"/>
        <v>38536562.5</v>
      </c>
      <c r="AY63" s="49">
        <f t="shared" si="50"/>
        <v>1998.27</v>
      </c>
      <c r="AZ63" s="48">
        <f t="shared" si="40"/>
        <v>32</v>
      </c>
      <c r="BA63" s="52">
        <f t="shared" si="41"/>
        <v>0.3645</v>
      </c>
      <c r="BB63" s="49">
        <f t="shared" si="51"/>
        <v>105724633.5</v>
      </c>
      <c r="BC63" s="49">
        <f t="shared" si="52"/>
        <v>5482.22</v>
      </c>
      <c r="BD63" s="48">
        <f t="shared" si="42"/>
        <v>44</v>
      </c>
      <c r="BE63" s="802">
        <v>32799.6737003124</v>
      </c>
      <c r="BF63" s="384">
        <f t="shared" si="43"/>
        <v>34859.6737003124</v>
      </c>
      <c r="BG63" s="520">
        <f t="shared" si="44"/>
        <v>29</v>
      </c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</row>
    <row r="64" spans="1:156" s="6" customFormat="1" ht="12.75">
      <c r="A64" s="666">
        <v>56</v>
      </c>
      <c r="B64" s="495" t="s">
        <v>60</v>
      </c>
      <c r="C64" s="495">
        <f>+'Table 8 Membership'!U64</f>
        <v>3495</v>
      </c>
      <c r="D64" s="495">
        <v>2110</v>
      </c>
      <c r="E64" s="469">
        <f t="shared" si="6"/>
        <v>1144492</v>
      </c>
      <c r="F64" s="667">
        <f t="shared" si="45"/>
        <v>359</v>
      </c>
      <c r="G64" s="495">
        <f>+'[5]Sheet1'!C58</f>
        <v>1258</v>
      </c>
      <c r="H64" s="469">
        <f t="shared" si="7"/>
        <v>200844</v>
      </c>
      <c r="I64" s="495">
        <f t="shared" si="8"/>
        <v>63</v>
      </c>
      <c r="J64" s="495">
        <f>+'[8]A'!C63</f>
        <v>445</v>
      </c>
      <c r="K64" s="469">
        <f t="shared" si="9"/>
        <v>2129584</v>
      </c>
      <c r="L64" s="495">
        <f t="shared" si="10"/>
        <v>668</v>
      </c>
      <c r="M64" s="495">
        <f>+'[8]A'!D63</f>
        <v>17</v>
      </c>
      <c r="N64" s="35">
        <f t="shared" si="11"/>
        <v>31880</v>
      </c>
      <c r="O64" s="34">
        <f t="shared" si="12"/>
        <v>10</v>
      </c>
      <c r="P64" s="34">
        <f t="shared" si="13"/>
        <v>4005</v>
      </c>
      <c r="Q64" s="366">
        <f t="shared" si="14"/>
        <v>0.1068</v>
      </c>
      <c r="R64" s="35">
        <f t="shared" si="15"/>
        <v>1189124</v>
      </c>
      <c r="S64" s="34">
        <f t="shared" si="16"/>
        <v>373</v>
      </c>
      <c r="T64" s="34">
        <f t="shared" si="17"/>
        <v>1473</v>
      </c>
      <c r="U64" s="126">
        <f t="shared" si="18"/>
        <v>4968</v>
      </c>
      <c r="V64" s="35">
        <f t="shared" si="19"/>
        <v>3188</v>
      </c>
      <c r="W64" s="35">
        <f t="shared" si="20"/>
        <v>15837984</v>
      </c>
      <c r="X64" s="38">
        <f>'Table 6 Local Wealth Factor'!L63</f>
        <v>0.62215338</v>
      </c>
      <c r="Y64" s="38">
        <f t="shared" si="21"/>
        <v>0.00512127</v>
      </c>
      <c r="Z64" s="38">
        <f t="shared" si="22"/>
        <v>0.00318622</v>
      </c>
      <c r="AA64" s="35">
        <f t="shared" si="46"/>
        <v>3448785</v>
      </c>
      <c r="AB64" s="39">
        <f t="shared" si="23"/>
        <v>0.2178</v>
      </c>
      <c r="AC64" s="524">
        <f t="shared" si="24"/>
        <v>12389199</v>
      </c>
      <c r="AD64" s="39">
        <f t="shared" si="25"/>
        <v>0.7822</v>
      </c>
      <c r="AE64" s="595">
        <f>'Table 7 Local Revenue'!AL63</f>
        <v>3072250.5</v>
      </c>
      <c r="AF64" s="35">
        <f t="shared" si="26"/>
        <v>0</v>
      </c>
      <c r="AG64" s="42">
        <f t="shared" si="27"/>
        <v>-376534.5</v>
      </c>
      <c r="AH64" s="35">
        <f t="shared" si="28"/>
        <v>5226535</v>
      </c>
      <c r="AI64" s="40">
        <f t="shared" si="29"/>
        <v>0</v>
      </c>
      <c r="AJ64" s="524">
        <f t="shared" si="30"/>
        <v>0</v>
      </c>
      <c r="AK64" s="39">
        <f t="shared" si="31"/>
        <v>0</v>
      </c>
      <c r="AL64" s="35">
        <f t="shared" si="32"/>
        <v>3275511</v>
      </c>
      <c r="AM64" s="35">
        <f t="shared" si="33"/>
        <v>0</v>
      </c>
      <c r="AN64" s="35">
        <f t="shared" si="34"/>
        <v>12389199</v>
      </c>
      <c r="AO64" s="35">
        <f t="shared" si="47"/>
        <v>3544.84</v>
      </c>
      <c r="AP64" s="35">
        <f>'Table 4 Level 3'!AE61</f>
        <v>-333292</v>
      </c>
      <c r="AQ64" s="35">
        <f t="shared" si="35"/>
        <v>-95.36</v>
      </c>
      <c r="AR64" s="524">
        <f t="shared" si="36"/>
        <v>12055907</v>
      </c>
      <c r="AS64" s="35">
        <f>AR64-'Table 2 Distribution &amp; Adjusts'!K61</f>
        <v>580038.4337687697</v>
      </c>
      <c r="AT64" s="524">
        <f t="shared" si="48"/>
        <v>3449.47</v>
      </c>
      <c r="AU64" s="34">
        <f t="shared" si="37"/>
        <v>45</v>
      </c>
      <c r="AV64" s="39">
        <f t="shared" si="49"/>
        <v>0.7776</v>
      </c>
      <c r="AW64" s="34">
        <f t="shared" si="38"/>
        <v>11</v>
      </c>
      <c r="AX64" s="35">
        <f t="shared" si="39"/>
        <v>3448785</v>
      </c>
      <c r="AY64" s="35">
        <f t="shared" si="50"/>
        <v>986.78</v>
      </c>
      <c r="AZ64" s="34">
        <f t="shared" si="40"/>
        <v>60</v>
      </c>
      <c r="BA64" s="39">
        <f t="shared" si="41"/>
        <v>0.2224</v>
      </c>
      <c r="BB64" s="35">
        <f t="shared" si="51"/>
        <v>15504692</v>
      </c>
      <c r="BC64" s="35">
        <f t="shared" si="52"/>
        <v>4436.25</v>
      </c>
      <c r="BD64" s="34">
        <f t="shared" si="42"/>
        <v>66</v>
      </c>
      <c r="BE64" s="801">
        <v>28673.4598018832</v>
      </c>
      <c r="BF64" s="383">
        <f t="shared" si="43"/>
        <v>30733.4598018832</v>
      </c>
      <c r="BG64" s="519">
        <f t="shared" si="44"/>
        <v>60</v>
      </c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</row>
    <row r="65" spans="1:156" s="6" customFormat="1" ht="12.75">
      <c r="A65" s="666">
        <v>57</v>
      </c>
      <c r="B65" s="495" t="s">
        <v>61</v>
      </c>
      <c r="C65" s="495">
        <f>+'Table 8 Membership'!U65</f>
        <v>8687</v>
      </c>
      <c r="D65" s="495">
        <v>4493</v>
      </c>
      <c r="E65" s="469">
        <f t="shared" si="6"/>
        <v>2435632</v>
      </c>
      <c r="F65" s="667">
        <f t="shared" si="45"/>
        <v>764</v>
      </c>
      <c r="G65" s="495">
        <f>+'[5]Sheet1'!C59</f>
        <v>2932</v>
      </c>
      <c r="H65" s="469">
        <f t="shared" si="7"/>
        <v>468636</v>
      </c>
      <c r="I65" s="495">
        <f t="shared" si="8"/>
        <v>147</v>
      </c>
      <c r="J65" s="495">
        <f>+'[8]A'!C64</f>
        <v>1454</v>
      </c>
      <c r="K65" s="469">
        <f t="shared" si="9"/>
        <v>6953028</v>
      </c>
      <c r="L65" s="495">
        <f t="shared" si="10"/>
        <v>2181</v>
      </c>
      <c r="M65" s="495">
        <f>+'[8]A'!D64</f>
        <v>77</v>
      </c>
      <c r="N65" s="35">
        <f t="shared" si="11"/>
        <v>146648</v>
      </c>
      <c r="O65" s="34">
        <f t="shared" si="12"/>
        <v>46</v>
      </c>
      <c r="P65" s="34">
        <f t="shared" si="13"/>
        <v>0</v>
      </c>
      <c r="Q65" s="366">
        <f t="shared" si="14"/>
        <v>0</v>
      </c>
      <c r="R65" s="35">
        <f t="shared" si="15"/>
        <v>0</v>
      </c>
      <c r="S65" s="34">
        <f t="shared" si="16"/>
        <v>0</v>
      </c>
      <c r="T65" s="34">
        <f t="shared" si="17"/>
        <v>3138</v>
      </c>
      <c r="U65" s="34">
        <f t="shared" si="18"/>
        <v>11825</v>
      </c>
      <c r="V65" s="35">
        <f t="shared" si="19"/>
        <v>3188</v>
      </c>
      <c r="W65" s="35">
        <f t="shared" si="20"/>
        <v>37698100</v>
      </c>
      <c r="X65" s="38">
        <f>'Table 6 Local Wealth Factor'!L64</f>
        <v>0.94803003</v>
      </c>
      <c r="Y65" s="38">
        <f t="shared" si="21"/>
        <v>0.01218982</v>
      </c>
      <c r="Z65" s="38">
        <f t="shared" si="22"/>
        <v>0.01155632</v>
      </c>
      <c r="AA65" s="35">
        <f t="shared" si="46"/>
        <v>12508634</v>
      </c>
      <c r="AB65" s="39">
        <f t="shared" si="23"/>
        <v>0.3318</v>
      </c>
      <c r="AC65" s="524">
        <f t="shared" si="24"/>
        <v>25189466</v>
      </c>
      <c r="AD65" s="39">
        <f t="shared" si="25"/>
        <v>0.6682</v>
      </c>
      <c r="AE65" s="595">
        <f>'Table 7 Local Revenue'!AL64</f>
        <v>15869827.5</v>
      </c>
      <c r="AF65" s="35">
        <f t="shared" si="26"/>
        <v>3361193.5</v>
      </c>
      <c r="AG65" s="42">
        <f t="shared" si="27"/>
        <v>0</v>
      </c>
      <c r="AH65" s="35">
        <f t="shared" si="28"/>
        <v>12440373</v>
      </c>
      <c r="AI65" s="40">
        <f t="shared" si="29"/>
        <v>3361193.5</v>
      </c>
      <c r="AJ65" s="524">
        <f t="shared" si="30"/>
        <v>1449286</v>
      </c>
      <c r="AK65" s="39">
        <f t="shared" si="31"/>
        <v>0.4311819596223782</v>
      </c>
      <c r="AL65" s="35">
        <f t="shared" si="32"/>
        <v>3914779</v>
      </c>
      <c r="AM65" s="35">
        <f t="shared" si="33"/>
        <v>4810479.5</v>
      </c>
      <c r="AN65" s="35">
        <f t="shared" si="34"/>
        <v>26638752</v>
      </c>
      <c r="AO65" s="35">
        <f t="shared" si="47"/>
        <v>3066.51</v>
      </c>
      <c r="AP65" s="35">
        <f>'Table 4 Level 3'!AE62</f>
        <v>1404074</v>
      </c>
      <c r="AQ65" s="35">
        <f t="shared" si="35"/>
        <v>161.63</v>
      </c>
      <c r="AR65" s="524">
        <f t="shared" si="36"/>
        <v>28042826</v>
      </c>
      <c r="AS65" s="35">
        <f>AR65-'Table 2 Distribution &amp; Adjusts'!K62</f>
        <v>1202293.3971320428</v>
      </c>
      <c r="AT65" s="524">
        <f t="shared" si="48"/>
        <v>3228.14</v>
      </c>
      <c r="AU65" s="34">
        <f t="shared" si="37"/>
        <v>49</v>
      </c>
      <c r="AV65" s="39">
        <f t="shared" si="49"/>
        <v>0.6386</v>
      </c>
      <c r="AW65" s="34">
        <f t="shared" si="38"/>
        <v>36</v>
      </c>
      <c r="AX65" s="35">
        <f t="shared" si="39"/>
        <v>15869827.5</v>
      </c>
      <c r="AY65" s="35">
        <f t="shared" si="50"/>
        <v>1826.85</v>
      </c>
      <c r="AZ65" s="34">
        <f t="shared" si="40"/>
        <v>38</v>
      </c>
      <c r="BA65" s="39">
        <f t="shared" si="41"/>
        <v>0.3614</v>
      </c>
      <c r="BB65" s="35">
        <f t="shared" si="51"/>
        <v>43912653.5</v>
      </c>
      <c r="BC65" s="35">
        <f t="shared" si="52"/>
        <v>5054.98</v>
      </c>
      <c r="BD65" s="34">
        <f t="shared" si="42"/>
        <v>58</v>
      </c>
      <c r="BE65" s="801">
        <v>34189.9329637908</v>
      </c>
      <c r="BF65" s="383">
        <f t="shared" si="43"/>
        <v>36249.9329637908</v>
      </c>
      <c r="BG65" s="519">
        <f t="shared" si="44"/>
        <v>19</v>
      </c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</row>
    <row r="66" spans="1:156" s="6" customFormat="1" ht="12.75">
      <c r="A66" s="666">
        <v>58</v>
      </c>
      <c r="B66" s="495" t="s">
        <v>62</v>
      </c>
      <c r="C66" s="495">
        <f>+'Table 8 Membership'!U66</f>
        <v>9792</v>
      </c>
      <c r="D66" s="495">
        <v>5014</v>
      </c>
      <c r="E66" s="469">
        <f t="shared" si="6"/>
        <v>2716176</v>
      </c>
      <c r="F66" s="667">
        <f t="shared" si="45"/>
        <v>852</v>
      </c>
      <c r="G66" s="495">
        <f>+'[5]Sheet1'!C60</f>
        <v>2188</v>
      </c>
      <c r="H66" s="469">
        <f t="shared" si="7"/>
        <v>347492</v>
      </c>
      <c r="I66" s="495">
        <f t="shared" si="8"/>
        <v>109</v>
      </c>
      <c r="J66" s="495">
        <f>+'[8]A'!C65</f>
        <v>1343</v>
      </c>
      <c r="K66" s="469">
        <f t="shared" si="9"/>
        <v>6423820</v>
      </c>
      <c r="L66" s="495">
        <f t="shared" si="10"/>
        <v>2015</v>
      </c>
      <c r="M66" s="495">
        <f>+'[8]A'!D65</f>
        <v>269</v>
      </c>
      <c r="N66" s="35">
        <f t="shared" si="11"/>
        <v>513268</v>
      </c>
      <c r="O66" s="34">
        <f t="shared" si="12"/>
        <v>161</v>
      </c>
      <c r="P66" s="34">
        <f t="shared" si="13"/>
        <v>0</v>
      </c>
      <c r="Q66" s="366">
        <f t="shared" si="14"/>
        <v>0</v>
      </c>
      <c r="R66" s="35">
        <f t="shared" si="15"/>
        <v>0</v>
      </c>
      <c r="S66" s="34">
        <f t="shared" si="16"/>
        <v>0</v>
      </c>
      <c r="T66" s="34">
        <f t="shared" si="17"/>
        <v>3137</v>
      </c>
      <c r="U66" s="34">
        <f t="shared" si="18"/>
        <v>12929</v>
      </c>
      <c r="V66" s="35">
        <f t="shared" si="19"/>
        <v>3188</v>
      </c>
      <c r="W66" s="35">
        <f t="shared" si="20"/>
        <v>41217652</v>
      </c>
      <c r="X66" s="38">
        <f>'Table 6 Local Wealth Factor'!L65</f>
        <v>0.46434891</v>
      </c>
      <c r="Y66" s="38">
        <f t="shared" si="21"/>
        <v>0.01332788</v>
      </c>
      <c r="Z66" s="38">
        <f t="shared" si="22"/>
        <v>0.00618879</v>
      </c>
      <c r="AA66" s="35">
        <f t="shared" si="46"/>
        <v>6698786</v>
      </c>
      <c r="AB66" s="39">
        <f t="shared" si="23"/>
        <v>0.1625</v>
      </c>
      <c r="AC66" s="524">
        <f t="shared" si="24"/>
        <v>34518866</v>
      </c>
      <c r="AD66" s="39">
        <f t="shared" si="25"/>
        <v>0.8375</v>
      </c>
      <c r="AE66" s="595">
        <f>'Table 7 Local Revenue'!AL65</f>
        <v>11666284</v>
      </c>
      <c r="AF66" s="35">
        <f t="shared" si="26"/>
        <v>4967498</v>
      </c>
      <c r="AG66" s="42">
        <f t="shared" si="27"/>
        <v>0</v>
      </c>
      <c r="AH66" s="35">
        <f t="shared" si="28"/>
        <v>13601825</v>
      </c>
      <c r="AI66" s="40">
        <f t="shared" si="29"/>
        <v>4967498</v>
      </c>
      <c r="AJ66" s="524">
        <f t="shared" si="30"/>
        <v>3583507</v>
      </c>
      <c r="AK66" s="39">
        <f t="shared" si="31"/>
        <v>0.7213907282901775</v>
      </c>
      <c r="AL66" s="35">
        <f t="shared" si="32"/>
        <v>6228722</v>
      </c>
      <c r="AM66" s="35">
        <f t="shared" si="33"/>
        <v>8551005</v>
      </c>
      <c r="AN66" s="35">
        <f t="shared" si="34"/>
        <v>38102373</v>
      </c>
      <c r="AO66" s="35">
        <f t="shared" si="47"/>
        <v>3891.17</v>
      </c>
      <c r="AP66" s="35">
        <f>'Table 4 Level 3'!AE63</f>
        <v>1635050</v>
      </c>
      <c r="AQ66" s="35">
        <f t="shared" si="35"/>
        <v>166.98</v>
      </c>
      <c r="AR66" s="524">
        <f t="shared" si="36"/>
        <v>39737423</v>
      </c>
      <c r="AS66" s="35">
        <f>AR66-'Table 2 Distribution &amp; Adjusts'!K63</f>
        <v>1573097.2051497549</v>
      </c>
      <c r="AT66" s="524">
        <f t="shared" si="48"/>
        <v>4058.15</v>
      </c>
      <c r="AU66" s="34">
        <f t="shared" si="37"/>
        <v>17</v>
      </c>
      <c r="AV66" s="39">
        <f t="shared" si="49"/>
        <v>0.773</v>
      </c>
      <c r="AW66" s="34">
        <f t="shared" si="38"/>
        <v>12</v>
      </c>
      <c r="AX66" s="35">
        <f t="shared" si="39"/>
        <v>11666284</v>
      </c>
      <c r="AY66" s="35">
        <f t="shared" si="50"/>
        <v>1191.41</v>
      </c>
      <c r="AZ66" s="34">
        <f t="shared" si="40"/>
        <v>55</v>
      </c>
      <c r="BA66" s="39">
        <f t="shared" si="41"/>
        <v>0.227</v>
      </c>
      <c r="BB66" s="35">
        <f t="shared" si="51"/>
        <v>51403707</v>
      </c>
      <c r="BC66" s="35">
        <f t="shared" si="52"/>
        <v>5249.56</v>
      </c>
      <c r="BD66" s="34">
        <f t="shared" si="42"/>
        <v>51</v>
      </c>
      <c r="BE66" s="801">
        <v>32203.5251322448</v>
      </c>
      <c r="BF66" s="383">
        <f t="shared" si="43"/>
        <v>34263.5251322448</v>
      </c>
      <c r="BG66" s="519">
        <f t="shared" si="44"/>
        <v>35</v>
      </c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</row>
    <row r="67" spans="1:156" s="6" customFormat="1" ht="12.75">
      <c r="A67" s="666">
        <v>59</v>
      </c>
      <c r="B67" s="495" t="s">
        <v>63</v>
      </c>
      <c r="C67" s="495">
        <f>+'Table 8 Membership'!U67</f>
        <v>4495</v>
      </c>
      <c r="D67" s="495">
        <v>3486</v>
      </c>
      <c r="E67" s="469">
        <f t="shared" si="6"/>
        <v>1890484</v>
      </c>
      <c r="F67" s="667">
        <f t="shared" si="45"/>
        <v>593</v>
      </c>
      <c r="G67" s="495">
        <f>+'[5]Sheet1'!C61</f>
        <v>1584</v>
      </c>
      <c r="H67" s="469">
        <f t="shared" si="7"/>
        <v>251852</v>
      </c>
      <c r="I67" s="495">
        <f t="shared" si="8"/>
        <v>79</v>
      </c>
      <c r="J67" s="495">
        <f>+'[8]A'!C66</f>
        <v>717</v>
      </c>
      <c r="K67" s="469">
        <f t="shared" si="9"/>
        <v>3430288</v>
      </c>
      <c r="L67" s="495">
        <f t="shared" si="10"/>
        <v>1076</v>
      </c>
      <c r="M67" s="495">
        <f>+'[8]A'!D66</f>
        <v>290</v>
      </c>
      <c r="N67" s="35">
        <f t="shared" si="11"/>
        <v>554712</v>
      </c>
      <c r="O67" s="34">
        <f t="shared" si="12"/>
        <v>174</v>
      </c>
      <c r="P67" s="34">
        <f t="shared" si="13"/>
        <v>3005</v>
      </c>
      <c r="Q67" s="366">
        <f t="shared" si="14"/>
        <v>0.08013</v>
      </c>
      <c r="R67" s="35">
        <f t="shared" si="15"/>
        <v>1147680</v>
      </c>
      <c r="S67" s="34">
        <f t="shared" si="16"/>
        <v>360</v>
      </c>
      <c r="T67" s="34">
        <f t="shared" si="17"/>
        <v>2282</v>
      </c>
      <c r="U67" s="34">
        <f t="shared" si="18"/>
        <v>6777</v>
      </c>
      <c r="V67" s="35">
        <f t="shared" si="19"/>
        <v>3188</v>
      </c>
      <c r="W67" s="35">
        <f t="shared" si="20"/>
        <v>21605076</v>
      </c>
      <c r="X67" s="38">
        <f>'Table 6 Local Wealth Factor'!L66</f>
        <v>0.40554107</v>
      </c>
      <c r="Y67" s="38">
        <f t="shared" si="21"/>
        <v>0.00698608</v>
      </c>
      <c r="Z67" s="38">
        <f t="shared" si="22"/>
        <v>0.00283314</v>
      </c>
      <c r="AA67" s="35">
        <f t="shared" si="46"/>
        <v>3066609</v>
      </c>
      <c r="AB67" s="39">
        <f t="shared" si="23"/>
        <v>0.1419</v>
      </c>
      <c r="AC67" s="524">
        <f t="shared" si="24"/>
        <v>18538467</v>
      </c>
      <c r="AD67" s="39">
        <f t="shared" si="25"/>
        <v>0.8581</v>
      </c>
      <c r="AE67" s="595">
        <f>'Table 7 Local Revenue'!AL66</f>
        <v>4953016</v>
      </c>
      <c r="AF67" s="35">
        <f t="shared" si="26"/>
        <v>1886407</v>
      </c>
      <c r="AG67" s="42">
        <f t="shared" si="27"/>
        <v>0</v>
      </c>
      <c r="AH67" s="35">
        <f t="shared" si="28"/>
        <v>7129675</v>
      </c>
      <c r="AI67" s="40">
        <f t="shared" si="29"/>
        <v>1886407</v>
      </c>
      <c r="AJ67" s="524">
        <f t="shared" si="30"/>
        <v>1427398</v>
      </c>
      <c r="AK67" s="39">
        <f t="shared" si="31"/>
        <v>0.7566755212422346</v>
      </c>
      <c r="AL67" s="35">
        <f t="shared" si="32"/>
        <v>3967451</v>
      </c>
      <c r="AM67" s="35">
        <f t="shared" si="33"/>
        <v>3313805</v>
      </c>
      <c r="AN67" s="35">
        <f t="shared" si="34"/>
        <v>19965865</v>
      </c>
      <c r="AO67" s="35">
        <f t="shared" si="47"/>
        <v>4441.79</v>
      </c>
      <c r="AP67" s="35">
        <f>'Table 4 Level 3'!AE64</f>
        <v>597088</v>
      </c>
      <c r="AQ67" s="35">
        <f t="shared" si="35"/>
        <v>132.83</v>
      </c>
      <c r="AR67" s="524">
        <f t="shared" si="36"/>
        <v>20562953</v>
      </c>
      <c r="AS67" s="35">
        <f>AR67-'Table 2 Distribution &amp; Adjusts'!K64</f>
        <v>792733.2590703554</v>
      </c>
      <c r="AT67" s="524">
        <f t="shared" si="48"/>
        <v>4574.63</v>
      </c>
      <c r="AU67" s="34">
        <f t="shared" si="37"/>
        <v>2</v>
      </c>
      <c r="AV67" s="39">
        <f t="shared" si="49"/>
        <v>0.8059</v>
      </c>
      <c r="AW67" s="34">
        <f t="shared" si="38"/>
        <v>5</v>
      </c>
      <c r="AX67" s="35">
        <f t="shared" si="39"/>
        <v>4953016</v>
      </c>
      <c r="AY67" s="35">
        <f t="shared" si="50"/>
        <v>1101.89</v>
      </c>
      <c r="AZ67" s="34">
        <f t="shared" si="40"/>
        <v>56</v>
      </c>
      <c r="BA67" s="39">
        <f t="shared" si="41"/>
        <v>0.1941</v>
      </c>
      <c r="BB67" s="35">
        <f t="shared" si="51"/>
        <v>25515969</v>
      </c>
      <c r="BC67" s="35">
        <f t="shared" si="52"/>
        <v>5676.52</v>
      </c>
      <c r="BD67" s="34">
        <f t="shared" si="42"/>
        <v>36</v>
      </c>
      <c r="BE67" s="801">
        <v>30912.6132839112</v>
      </c>
      <c r="BF67" s="383">
        <f t="shared" si="43"/>
        <v>32972.613283911196</v>
      </c>
      <c r="BG67" s="519">
        <f t="shared" si="44"/>
        <v>47</v>
      </c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</row>
    <row r="68" spans="1:156" s="54" customFormat="1" ht="12.75">
      <c r="A68" s="668">
        <v>60</v>
      </c>
      <c r="B68" s="498" t="s">
        <v>64</v>
      </c>
      <c r="C68" s="498">
        <f>+'Table 8 Membership'!U68</f>
        <v>7563</v>
      </c>
      <c r="D68" s="498">
        <v>4038</v>
      </c>
      <c r="E68" s="472">
        <f t="shared" si="6"/>
        <v>2186968</v>
      </c>
      <c r="F68" s="669">
        <f t="shared" si="45"/>
        <v>686</v>
      </c>
      <c r="G68" s="498">
        <f>+'[5]Sheet1'!C62</f>
        <v>2089</v>
      </c>
      <c r="H68" s="472">
        <f t="shared" si="7"/>
        <v>331552</v>
      </c>
      <c r="I68" s="498">
        <f t="shared" si="8"/>
        <v>104</v>
      </c>
      <c r="J68" s="495">
        <f>+'[8]A'!C67</f>
        <v>1010</v>
      </c>
      <c r="K68" s="472">
        <f t="shared" si="9"/>
        <v>4829820</v>
      </c>
      <c r="L68" s="498">
        <f t="shared" si="10"/>
        <v>1515</v>
      </c>
      <c r="M68" s="495">
        <f>+'[8]A'!D67</f>
        <v>131</v>
      </c>
      <c r="N68" s="49">
        <f t="shared" si="11"/>
        <v>251852</v>
      </c>
      <c r="O68" s="48">
        <f t="shared" si="12"/>
        <v>79</v>
      </c>
      <c r="P68" s="48">
        <f t="shared" si="13"/>
        <v>0</v>
      </c>
      <c r="Q68" s="367">
        <f t="shared" si="14"/>
        <v>0</v>
      </c>
      <c r="R68" s="49">
        <f t="shared" si="15"/>
        <v>0</v>
      </c>
      <c r="S68" s="48">
        <f t="shared" si="16"/>
        <v>0</v>
      </c>
      <c r="T68" s="48">
        <f t="shared" si="17"/>
        <v>2384</v>
      </c>
      <c r="U68" s="34">
        <f t="shared" si="18"/>
        <v>9947</v>
      </c>
      <c r="V68" s="49">
        <f t="shared" si="19"/>
        <v>3188</v>
      </c>
      <c r="W68" s="49">
        <f t="shared" si="20"/>
        <v>31711036</v>
      </c>
      <c r="X68" s="51">
        <f>'Table 6 Local Wealth Factor'!L67</f>
        <v>0.76906409</v>
      </c>
      <c r="Y68" s="51">
        <f t="shared" si="21"/>
        <v>0.01025388</v>
      </c>
      <c r="Z68" s="51">
        <f t="shared" si="22"/>
        <v>0.00788589</v>
      </c>
      <c r="AA68" s="49">
        <f t="shared" si="46"/>
        <v>8535737</v>
      </c>
      <c r="AB68" s="52">
        <f t="shared" si="23"/>
        <v>0.2692</v>
      </c>
      <c r="AC68" s="525">
        <f t="shared" si="24"/>
        <v>23175299</v>
      </c>
      <c r="AD68" s="52">
        <f t="shared" si="25"/>
        <v>0.7308</v>
      </c>
      <c r="AE68" s="596">
        <f>'Table 7 Local Revenue'!AL67</f>
        <v>14678241</v>
      </c>
      <c r="AF68" s="49">
        <f t="shared" si="26"/>
        <v>6142504</v>
      </c>
      <c r="AG68" s="61">
        <f t="shared" si="27"/>
        <v>0</v>
      </c>
      <c r="AH68" s="49">
        <f t="shared" si="28"/>
        <v>10464642</v>
      </c>
      <c r="AI68" s="53">
        <f t="shared" si="29"/>
        <v>6142504</v>
      </c>
      <c r="AJ68" s="525">
        <f t="shared" si="30"/>
        <v>3308116</v>
      </c>
      <c r="AK68" s="52">
        <f t="shared" si="31"/>
        <v>0.5385614726502417</v>
      </c>
      <c r="AL68" s="49">
        <f t="shared" si="32"/>
        <v>2327738</v>
      </c>
      <c r="AM68" s="49">
        <f t="shared" si="33"/>
        <v>9450620</v>
      </c>
      <c r="AN68" s="49">
        <f t="shared" si="34"/>
        <v>26483415</v>
      </c>
      <c r="AO68" s="49">
        <f t="shared" si="47"/>
        <v>3501.71</v>
      </c>
      <c r="AP68" s="49">
        <f>'Table 4 Level 3'!AE65</f>
        <v>91600</v>
      </c>
      <c r="AQ68" s="49">
        <f t="shared" si="35"/>
        <v>12.11</v>
      </c>
      <c r="AR68" s="525">
        <f t="shared" si="36"/>
        <v>26575015</v>
      </c>
      <c r="AS68" s="49">
        <f>AR68-'Table 2 Distribution &amp; Adjusts'!K65</f>
        <v>1213864.1989275888</v>
      </c>
      <c r="AT68" s="525">
        <f t="shared" si="48"/>
        <v>3513.82</v>
      </c>
      <c r="AU68" s="48">
        <f t="shared" si="37"/>
        <v>43</v>
      </c>
      <c r="AV68" s="52">
        <f t="shared" si="49"/>
        <v>0.6442</v>
      </c>
      <c r="AW68" s="48">
        <f t="shared" si="38"/>
        <v>35</v>
      </c>
      <c r="AX68" s="49">
        <f t="shared" si="39"/>
        <v>14678241</v>
      </c>
      <c r="AY68" s="49">
        <f t="shared" si="50"/>
        <v>1940.8</v>
      </c>
      <c r="AZ68" s="48">
        <f t="shared" si="40"/>
        <v>34</v>
      </c>
      <c r="BA68" s="52">
        <f t="shared" si="41"/>
        <v>0.3558</v>
      </c>
      <c r="BB68" s="49">
        <f t="shared" si="51"/>
        <v>41253256</v>
      </c>
      <c r="BC68" s="49">
        <f t="shared" si="52"/>
        <v>5454.62</v>
      </c>
      <c r="BD68" s="48">
        <f t="shared" si="42"/>
        <v>45</v>
      </c>
      <c r="BE68" s="802">
        <v>36323.688163766</v>
      </c>
      <c r="BF68" s="384">
        <f t="shared" si="43"/>
        <v>38383.688163766</v>
      </c>
      <c r="BG68" s="520">
        <f t="shared" si="44"/>
        <v>3</v>
      </c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</row>
    <row r="69" spans="1:156" s="6" customFormat="1" ht="12.75">
      <c r="A69" s="666">
        <v>61</v>
      </c>
      <c r="B69" s="495" t="s">
        <v>65</v>
      </c>
      <c r="C69" s="495">
        <f>+'Table 8 Membership'!U69</f>
        <v>3649</v>
      </c>
      <c r="D69" s="495">
        <v>2233</v>
      </c>
      <c r="E69" s="469">
        <f t="shared" si="6"/>
        <v>1211440</v>
      </c>
      <c r="F69" s="667">
        <f t="shared" si="45"/>
        <v>380</v>
      </c>
      <c r="G69" s="495">
        <f>+'[5]Sheet1'!C63</f>
        <v>1059</v>
      </c>
      <c r="H69" s="469">
        <f t="shared" si="7"/>
        <v>168964</v>
      </c>
      <c r="I69" s="495">
        <f t="shared" si="8"/>
        <v>53</v>
      </c>
      <c r="J69" s="495">
        <f>+'[8]A'!C68</f>
        <v>446</v>
      </c>
      <c r="K69" s="469">
        <f t="shared" si="9"/>
        <v>2132772</v>
      </c>
      <c r="L69" s="495">
        <f t="shared" si="10"/>
        <v>669</v>
      </c>
      <c r="M69" s="495">
        <f>+'[8]A'!D68</f>
        <v>167</v>
      </c>
      <c r="N69" s="35">
        <f t="shared" si="11"/>
        <v>318800</v>
      </c>
      <c r="O69" s="34">
        <f t="shared" si="12"/>
        <v>100</v>
      </c>
      <c r="P69" s="34">
        <f t="shared" si="13"/>
        <v>3851</v>
      </c>
      <c r="Q69" s="366">
        <f t="shared" si="14"/>
        <v>0.10269</v>
      </c>
      <c r="R69" s="35">
        <f t="shared" si="15"/>
        <v>1195500</v>
      </c>
      <c r="S69" s="34">
        <f t="shared" si="16"/>
        <v>375</v>
      </c>
      <c r="T69" s="34">
        <f t="shared" si="17"/>
        <v>1577</v>
      </c>
      <c r="U69" s="126">
        <f t="shared" si="18"/>
        <v>5226</v>
      </c>
      <c r="V69" s="35">
        <f t="shared" si="19"/>
        <v>3188</v>
      </c>
      <c r="W69" s="35">
        <f t="shared" si="20"/>
        <v>16660488</v>
      </c>
      <c r="X69" s="38">
        <f>'Table 6 Local Wealth Factor'!L68</f>
        <v>1.47631517</v>
      </c>
      <c r="Y69" s="38">
        <f t="shared" si="21"/>
        <v>0.00538723</v>
      </c>
      <c r="Z69" s="38">
        <f t="shared" si="22"/>
        <v>0.00795325</v>
      </c>
      <c r="AA69" s="35">
        <f t="shared" si="46"/>
        <v>8608648</v>
      </c>
      <c r="AB69" s="39">
        <f t="shared" si="23"/>
        <v>0.5167</v>
      </c>
      <c r="AC69" s="524">
        <f t="shared" si="24"/>
        <v>8051840</v>
      </c>
      <c r="AD69" s="39">
        <f t="shared" si="25"/>
        <v>0.4833</v>
      </c>
      <c r="AE69" s="595">
        <f>'Table 7 Local Revenue'!AL68</f>
        <v>13718632</v>
      </c>
      <c r="AF69" s="35">
        <f t="shared" si="26"/>
        <v>5109984</v>
      </c>
      <c r="AG69" s="42">
        <f t="shared" si="27"/>
        <v>0</v>
      </c>
      <c r="AH69" s="35">
        <f t="shared" si="28"/>
        <v>5497961</v>
      </c>
      <c r="AI69" s="40">
        <f t="shared" si="29"/>
        <v>5109984</v>
      </c>
      <c r="AJ69" s="524">
        <f t="shared" si="30"/>
        <v>583616</v>
      </c>
      <c r="AK69" s="39">
        <f t="shared" si="31"/>
        <v>0.11421092512227043</v>
      </c>
      <c r="AL69" s="35">
        <f t="shared" si="32"/>
        <v>44311</v>
      </c>
      <c r="AM69" s="35">
        <f t="shared" si="33"/>
        <v>5693600</v>
      </c>
      <c r="AN69" s="35">
        <f t="shared" si="34"/>
        <v>8635456</v>
      </c>
      <c r="AO69" s="35">
        <f t="shared" si="47"/>
        <v>2366.53</v>
      </c>
      <c r="AP69" s="35">
        <f>'Table 4 Level 3'!AE66</f>
        <v>605895</v>
      </c>
      <c r="AQ69" s="35">
        <f t="shared" si="35"/>
        <v>166.04</v>
      </c>
      <c r="AR69" s="524">
        <f t="shared" si="36"/>
        <v>9241351</v>
      </c>
      <c r="AS69" s="35">
        <f>AR69-'Table 2 Distribution &amp; Adjusts'!K66</f>
        <v>69683.58890366554</v>
      </c>
      <c r="AT69" s="524">
        <f t="shared" si="48"/>
        <v>2532.57</v>
      </c>
      <c r="AU69" s="34">
        <f t="shared" si="37"/>
        <v>63</v>
      </c>
      <c r="AV69" s="39">
        <f t="shared" si="49"/>
        <v>0.4025</v>
      </c>
      <c r="AW69" s="34">
        <f t="shared" si="38"/>
        <v>62</v>
      </c>
      <c r="AX69" s="35">
        <f t="shared" si="39"/>
        <v>13718632</v>
      </c>
      <c r="AY69" s="35">
        <f t="shared" si="50"/>
        <v>3759.56</v>
      </c>
      <c r="AZ69" s="34">
        <f t="shared" si="40"/>
        <v>6</v>
      </c>
      <c r="BA69" s="39">
        <f t="shared" si="41"/>
        <v>0.5975</v>
      </c>
      <c r="BB69" s="35">
        <f t="shared" si="51"/>
        <v>22959983</v>
      </c>
      <c r="BC69" s="35">
        <f t="shared" si="52"/>
        <v>6292.13</v>
      </c>
      <c r="BD69" s="34">
        <f t="shared" si="42"/>
        <v>15</v>
      </c>
      <c r="BE69" s="801">
        <v>32683.2752442551</v>
      </c>
      <c r="BF69" s="383">
        <f t="shared" si="43"/>
        <v>34743.2752442551</v>
      </c>
      <c r="BG69" s="519">
        <f t="shared" si="44"/>
        <v>32</v>
      </c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</row>
    <row r="70" spans="1:156" s="6" customFormat="1" ht="12.75">
      <c r="A70" s="666">
        <v>62</v>
      </c>
      <c r="B70" s="495" t="s">
        <v>66</v>
      </c>
      <c r="C70" s="495">
        <f>+'Table 8 Membership'!U70</f>
        <v>2482</v>
      </c>
      <c r="D70" s="495">
        <v>1622</v>
      </c>
      <c r="E70" s="469">
        <f t="shared" si="6"/>
        <v>879888</v>
      </c>
      <c r="F70" s="667">
        <f t="shared" si="45"/>
        <v>276</v>
      </c>
      <c r="G70" s="495">
        <f>+'[5]Sheet1'!C64</f>
        <v>913</v>
      </c>
      <c r="H70" s="469">
        <f t="shared" si="7"/>
        <v>146648</v>
      </c>
      <c r="I70" s="495">
        <f t="shared" si="8"/>
        <v>46</v>
      </c>
      <c r="J70" s="495">
        <f>+'[8]A'!C69</f>
        <v>298</v>
      </c>
      <c r="K70" s="469">
        <f t="shared" si="9"/>
        <v>1425036</v>
      </c>
      <c r="L70" s="495">
        <f t="shared" si="10"/>
        <v>447</v>
      </c>
      <c r="M70" s="495">
        <f>+'[8]A'!D69</f>
        <v>28</v>
      </c>
      <c r="N70" s="35">
        <f t="shared" si="11"/>
        <v>54196</v>
      </c>
      <c r="O70" s="34">
        <f t="shared" si="12"/>
        <v>17</v>
      </c>
      <c r="P70" s="34">
        <f t="shared" si="13"/>
        <v>5018</v>
      </c>
      <c r="Q70" s="366">
        <f t="shared" si="14"/>
        <v>0.13381</v>
      </c>
      <c r="R70" s="35">
        <f t="shared" si="15"/>
        <v>1058416</v>
      </c>
      <c r="S70" s="34">
        <f t="shared" si="16"/>
        <v>332</v>
      </c>
      <c r="T70" s="34">
        <f t="shared" si="17"/>
        <v>1118</v>
      </c>
      <c r="U70" s="34">
        <f t="shared" si="18"/>
        <v>3600</v>
      </c>
      <c r="V70" s="35">
        <f t="shared" si="19"/>
        <v>3188</v>
      </c>
      <c r="W70" s="35">
        <f t="shared" si="20"/>
        <v>11476800</v>
      </c>
      <c r="X70" s="38">
        <f>'Table 6 Local Wealth Factor'!L69</f>
        <v>0.47182374</v>
      </c>
      <c r="Y70" s="38">
        <f t="shared" si="21"/>
        <v>0.00371106</v>
      </c>
      <c r="Z70" s="38">
        <f t="shared" si="22"/>
        <v>0.00175097</v>
      </c>
      <c r="AA70" s="35">
        <f t="shared" si="46"/>
        <v>1895261</v>
      </c>
      <c r="AB70" s="39">
        <f t="shared" si="23"/>
        <v>0.1651</v>
      </c>
      <c r="AC70" s="524">
        <f t="shared" si="24"/>
        <v>9581539</v>
      </c>
      <c r="AD70" s="39">
        <f t="shared" si="25"/>
        <v>0.8349</v>
      </c>
      <c r="AE70" s="595">
        <f>'Table 7 Local Revenue'!AL69</f>
        <v>1729425</v>
      </c>
      <c r="AF70" s="35">
        <f t="shared" si="26"/>
        <v>0</v>
      </c>
      <c r="AG70" s="42">
        <f t="shared" si="27"/>
        <v>-165836</v>
      </c>
      <c r="AH70" s="35">
        <f t="shared" si="28"/>
        <v>3787344</v>
      </c>
      <c r="AI70" s="40">
        <f t="shared" si="29"/>
        <v>0</v>
      </c>
      <c r="AJ70" s="524">
        <f t="shared" si="30"/>
        <v>0</v>
      </c>
      <c r="AK70" s="39">
        <f t="shared" si="31"/>
        <v>0</v>
      </c>
      <c r="AL70" s="35">
        <f t="shared" si="32"/>
        <v>2715169</v>
      </c>
      <c r="AM70" s="35">
        <f t="shared" si="33"/>
        <v>0</v>
      </c>
      <c r="AN70" s="35">
        <f t="shared" si="34"/>
        <v>9581539</v>
      </c>
      <c r="AO70" s="35">
        <f t="shared" si="47"/>
        <v>3860.41</v>
      </c>
      <c r="AP70" s="35">
        <f>'Table 4 Level 3'!AE67</f>
        <v>25718</v>
      </c>
      <c r="AQ70" s="35">
        <f t="shared" si="35"/>
        <v>10.36</v>
      </c>
      <c r="AR70" s="524">
        <f t="shared" si="36"/>
        <v>9607257</v>
      </c>
      <c r="AS70" s="35">
        <f>AR70-'Table 2 Distribution &amp; Adjusts'!K67</f>
        <v>469544.3271422852</v>
      </c>
      <c r="AT70" s="524">
        <f t="shared" si="48"/>
        <v>3870.77</v>
      </c>
      <c r="AU70" s="34">
        <f t="shared" si="37"/>
        <v>25</v>
      </c>
      <c r="AV70" s="39">
        <f t="shared" si="49"/>
        <v>0.8352</v>
      </c>
      <c r="AW70" s="34">
        <f t="shared" si="38"/>
        <v>2</v>
      </c>
      <c r="AX70" s="35">
        <f t="shared" si="39"/>
        <v>1895261</v>
      </c>
      <c r="AY70" s="35">
        <f t="shared" si="50"/>
        <v>763.6</v>
      </c>
      <c r="AZ70" s="34">
        <f t="shared" si="40"/>
        <v>65</v>
      </c>
      <c r="BA70" s="39">
        <f t="shared" si="41"/>
        <v>0.1648</v>
      </c>
      <c r="BB70" s="35">
        <f t="shared" si="51"/>
        <v>11502518</v>
      </c>
      <c r="BC70" s="35">
        <f t="shared" si="52"/>
        <v>4634.37</v>
      </c>
      <c r="BD70" s="34">
        <f t="shared" si="42"/>
        <v>64</v>
      </c>
      <c r="BE70" s="801">
        <v>28425.7369014172</v>
      </c>
      <c r="BF70" s="383">
        <f t="shared" si="43"/>
        <v>30485.7369014172</v>
      </c>
      <c r="BG70" s="519">
        <f t="shared" si="44"/>
        <v>62</v>
      </c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</row>
    <row r="71" spans="1:156" s="6" customFormat="1" ht="12.75">
      <c r="A71" s="666">
        <v>63</v>
      </c>
      <c r="B71" s="495" t="s">
        <v>67</v>
      </c>
      <c r="C71" s="495">
        <f>+'Table 8 Membership'!U71</f>
        <v>2209</v>
      </c>
      <c r="D71" s="495">
        <v>971</v>
      </c>
      <c r="E71" s="469">
        <f t="shared" si="6"/>
        <v>526020</v>
      </c>
      <c r="F71" s="667">
        <f t="shared" si="45"/>
        <v>165</v>
      </c>
      <c r="G71" s="495">
        <f>+'[5]Sheet1'!C65</f>
        <v>467</v>
      </c>
      <c r="H71" s="469">
        <f t="shared" si="7"/>
        <v>73324</v>
      </c>
      <c r="I71" s="495">
        <f t="shared" si="8"/>
        <v>23</v>
      </c>
      <c r="J71" s="495">
        <f>+'[8]A'!C70</f>
        <v>353</v>
      </c>
      <c r="K71" s="469">
        <f t="shared" si="9"/>
        <v>1689640</v>
      </c>
      <c r="L71" s="495">
        <f t="shared" si="10"/>
        <v>530</v>
      </c>
      <c r="M71" s="495">
        <f>+'[8]A'!D70</f>
        <v>144</v>
      </c>
      <c r="N71" s="35">
        <f t="shared" si="11"/>
        <v>274168</v>
      </c>
      <c r="O71" s="34">
        <f t="shared" si="12"/>
        <v>86</v>
      </c>
      <c r="P71" s="34">
        <f t="shared" si="13"/>
        <v>5291</v>
      </c>
      <c r="Q71" s="366">
        <f t="shared" si="14"/>
        <v>0.14109</v>
      </c>
      <c r="R71" s="35">
        <f t="shared" si="15"/>
        <v>994656</v>
      </c>
      <c r="S71" s="34">
        <f t="shared" si="16"/>
        <v>312</v>
      </c>
      <c r="T71" s="34">
        <f t="shared" si="17"/>
        <v>1116</v>
      </c>
      <c r="U71" s="34">
        <f t="shared" si="18"/>
        <v>3325</v>
      </c>
      <c r="V71" s="35">
        <f t="shared" si="19"/>
        <v>3188</v>
      </c>
      <c r="W71" s="35">
        <f t="shared" si="20"/>
        <v>10600100</v>
      </c>
      <c r="X71" s="38">
        <f>'Table 6 Local Wealth Factor'!L70</f>
        <v>2.48096993</v>
      </c>
      <c r="Y71" s="38">
        <f t="shared" si="21"/>
        <v>0.00342758</v>
      </c>
      <c r="Z71" s="38">
        <f t="shared" si="22"/>
        <v>0.00850372</v>
      </c>
      <c r="AA71" s="35">
        <f t="shared" si="46"/>
        <v>9204480</v>
      </c>
      <c r="AB71" s="39">
        <f t="shared" si="23"/>
        <v>0.8683</v>
      </c>
      <c r="AC71" s="524">
        <f t="shared" si="24"/>
        <v>1395620</v>
      </c>
      <c r="AD71" s="39">
        <f t="shared" si="25"/>
        <v>0.1317</v>
      </c>
      <c r="AE71" s="595">
        <f>'Table 7 Local Revenue'!AL70</f>
        <v>9925564</v>
      </c>
      <c r="AF71" s="35">
        <f t="shared" si="26"/>
        <v>721084</v>
      </c>
      <c r="AG71" s="42">
        <f t="shared" si="27"/>
        <v>0</v>
      </c>
      <c r="AH71" s="35">
        <f t="shared" si="28"/>
        <v>3498033</v>
      </c>
      <c r="AI71" s="40">
        <f t="shared" si="29"/>
        <v>721084</v>
      </c>
      <c r="AJ71" s="524">
        <f t="shared" si="30"/>
        <v>0</v>
      </c>
      <c r="AK71" s="39">
        <f t="shared" si="31"/>
        <v>0</v>
      </c>
      <c r="AL71" s="35">
        <f t="shared" si="32"/>
        <v>0</v>
      </c>
      <c r="AM71" s="35">
        <f t="shared" si="33"/>
        <v>721084</v>
      </c>
      <c r="AN71" s="35">
        <f t="shared" si="34"/>
        <v>1395620</v>
      </c>
      <c r="AO71" s="35">
        <f t="shared" si="47"/>
        <v>631.79</v>
      </c>
      <c r="AP71" s="35">
        <f>'Table 4 Level 3'!AE68</f>
        <v>5704739</v>
      </c>
      <c r="AQ71" s="35">
        <f t="shared" si="35"/>
        <v>2582.5</v>
      </c>
      <c r="AR71" s="524">
        <f t="shared" si="36"/>
        <v>7100359</v>
      </c>
      <c r="AS71" s="35">
        <f>AR71-'Table 2 Distribution &amp; Adjusts'!K68</f>
        <v>500227.5938672777</v>
      </c>
      <c r="AT71" s="524">
        <f t="shared" si="48"/>
        <v>3214.29</v>
      </c>
      <c r="AU71" s="34">
        <f t="shared" si="37"/>
        <v>51</v>
      </c>
      <c r="AV71" s="39">
        <f t="shared" si="49"/>
        <v>0.417</v>
      </c>
      <c r="AW71" s="34">
        <f t="shared" si="38"/>
        <v>61</v>
      </c>
      <c r="AX71" s="35">
        <f t="shared" si="39"/>
        <v>9925564</v>
      </c>
      <c r="AY71" s="35">
        <f t="shared" si="50"/>
        <v>4493.24</v>
      </c>
      <c r="AZ71" s="34">
        <f t="shared" si="40"/>
        <v>1</v>
      </c>
      <c r="BA71" s="39">
        <f t="shared" si="41"/>
        <v>0.583</v>
      </c>
      <c r="BB71" s="35">
        <f t="shared" si="51"/>
        <v>17025923</v>
      </c>
      <c r="BC71" s="35">
        <f t="shared" si="52"/>
        <v>7707.53</v>
      </c>
      <c r="BD71" s="34">
        <f t="shared" si="42"/>
        <v>1</v>
      </c>
      <c r="BE71" s="801">
        <v>36301.13812514</v>
      </c>
      <c r="BF71" s="383">
        <f t="shared" si="43"/>
        <v>38361.13812514</v>
      </c>
      <c r="BG71" s="519">
        <f t="shared" si="44"/>
        <v>4</v>
      </c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</row>
    <row r="72" spans="1:156" s="6" customFormat="1" ht="12.75">
      <c r="A72" s="666">
        <v>64</v>
      </c>
      <c r="B72" s="495" t="s">
        <v>68</v>
      </c>
      <c r="C72" s="495">
        <f>+'Table 8 Membership'!U72</f>
        <v>2813</v>
      </c>
      <c r="D72" s="495">
        <v>1757</v>
      </c>
      <c r="E72" s="469">
        <f t="shared" si="6"/>
        <v>953212</v>
      </c>
      <c r="F72" s="667">
        <f t="shared" si="45"/>
        <v>299</v>
      </c>
      <c r="G72" s="495">
        <f>+'[5]Sheet1'!C66</f>
        <v>1396</v>
      </c>
      <c r="H72" s="469">
        <f t="shared" si="7"/>
        <v>223160</v>
      </c>
      <c r="I72" s="495">
        <f t="shared" si="8"/>
        <v>70</v>
      </c>
      <c r="J72" s="495">
        <f>+'[8]A'!C71</f>
        <v>328</v>
      </c>
      <c r="K72" s="469">
        <f t="shared" si="9"/>
        <v>1568496</v>
      </c>
      <c r="L72" s="495">
        <f t="shared" si="10"/>
        <v>492</v>
      </c>
      <c r="M72" s="495">
        <f>+'[8]A'!D71</f>
        <v>64</v>
      </c>
      <c r="N72" s="35">
        <f t="shared" si="11"/>
        <v>121144</v>
      </c>
      <c r="O72" s="34">
        <f t="shared" si="12"/>
        <v>38</v>
      </c>
      <c r="P72" s="34">
        <f t="shared" si="13"/>
        <v>4687</v>
      </c>
      <c r="Q72" s="366">
        <f t="shared" si="14"/>
        <v>0.12499</v>
      </c>
      <c r="R72" s="35">
        <f t="shared" si="15"/>
        <v>1122176</v>
      </c>
      <c r="S72" s="34">
        <f t="shared" si="16"/>
        <v>352</v>
      </c>
      <c r="T72" s="34">
        <f t="shared" si="17"/>
        <v>1251</v>
      </c>
      <c r="U72" s="34">
        <f t="shared" si="18"/>
        <v>4064</v>
      </c>
      <c r="V72" s="35">
        <f t="shared" si="19"/>
        <v>3188</v>
      </c>
      <c r="W72" s="35">
        <f t="shared" si="20"/>
        <v>12956032</v>
      </c>
      <c r="X72" s="38">
        <f>'Table 6 Local Wealth Factor'!L71</f>
        <v>0.67269698</v>
      </c>
      <c r="Y72" s="38">
        <f t="shared" si="21"/>
        <v>0.00418938</v>
      </c>
      <c r="Z72" s="38">
        <f t="shared" si="22"/>
        <v>0.00281818</v>
      </c>
      <c r="AA72" s="35">
        <f t="shared" si="46"/>
        <v>3050416</v>
      </c>
      <c r="AB72" s="39">
        <f t="shared" si="23"/>
        <v>0.2354</v>
      </c>
      <c r="AC72" s="524">
        <f t="shared" si="24"/>
        <v>9905616</v>
      </c>
      <c r="AD72" s="39">
        <f t="shared" si="25"/>
        <v>0.7646</v>
      </c>
      <c r="AE72" s="595">
        <f>'Table 7 Local Revenue'!AL71</f>
        <v>5724443.5</v>
      </c>
      <c r="AF72" s="35">
        <f t="shared" si="26"/>
        <v>2674027.5</v>
      </c>
      <c r="AG72" s="42">
        <f t="shared" si="27"/>
        <v>0</v>
      </c>
      <c r="AH72" s="35">
        <f t="shared" si="28"/>
        <v>4275491</v>
      </c>
      <c r="AI72" s="40">
        <f t="shared" si="29"/>
        <v>2674027.5</v>
      </c>
      <c r="AJ72" s="524">
        <f t="shared" si="30"/>
        <v>1594741</v>
      </c>
      <c r="AK72" s="39">
        <f t="shared" si="31"/>
        <v>0.5963816752071548</v>
      </c>
      <c r="AL72" s="35">
        <f t="shared" si="32"/>
        <v>955084</v>
      </c>
      <c r="AM72" s="35">
        <f t="shared" si="33"/>
        <v>4268768.5</v>
      </c>
      <c r="AN72" s="35">
        <f t="shared" si="34"/>
        <v>11500357</v>
      </c>
      <c r="AO72" s="35">
        <f t="shared" si="47"/>
        <v>4088.29</v>
      </c>
      <c r="AP72" s="35">
        <f>'Table 4 Level 3'!AE69</f>
        <v>157890</v>
      </c>
      <c r="AQ72" s="35">
        <f t="shared" si="35"/>
        <v>56.13</v>
      </c>
      <c r="AR72" s="524">
        <f t="shared" si="36"/>
        <v>11658247</v>
      </c>
      <c r="AS72" s="35">
        <f>AR72-'Table 2 Distribution &amp; Adjusts'!K69</f>
        <v>503142.8981924299</v>
      </c>
      <c r="AT72" s="524">
        <f t="shared" si="48"/>
        <v>4144.42</v>
      </c>
      <c r="AU72" s="34">
        <f t="shared" si="37"/>
        <v>15</v>
      </c>
      <c r="AV72" s="39">
        <f t="shared" si="49"/>
        <v>0.6707</v>
      </c>
      <c r="AW72" s="34">
        <f t="shared" si="38"/>
        <v>31</v>
      </c>
      <c r="AX72" s="35">
        <f t="shared" si="39"/>
        <v>5724443.5</v>
      </c>
      <c r="AY72" s="35">
        <f t="shared" si="50"/>
        <v>2035</v>
      </c>
      <c r="AZ72" s="34">
        <f t="shared" si="40"/>
        <v>31</v>
      </c>
      <c r="BA72" s="39">
        <f t="shared" si="41"/>
        <v>0.3293</v>
      </c>
      <c r="BB72" s="35">
        <f t="shared" si="51"/>
        <v>17382690.5</v>
      </c>
      <c r="BC72" s="35">
        <f t="shared" si="52"/>
        <v>6179.41</v>
      </c>
      <c r="BD72" s="34">
        <f t="shared" si="42"/>
        <v>18</v>
      </c>
      <c r="BE72" s="801">
        <v>32031.0593670784</v>
      </c>
      <c r="BF72" s="383">
        <f t="shared" si="43"/>
        <v>34091.0593670784</v>
      </c>
      <c r="BG72" s="519">
        <f t="shared" si="44"/>
        <v>37</v>
      </c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</row>
    <row r="73" spans="1:156" s="6" customFormat="1" ht="12.75">
      <c r="A73" s="666">
        <v>65</v>
      </c>
      <c r="B73" s="495" t="s">
        <v>69</v>
      </c>
      <c r="C73" s="495">
        <f>+'Table 8 Membership'!U73</f>
        <v>9603</v>
      </c>
      <c r="D73" s="495">
        <v>7260</v>
      </c>
      <c r="E73" s="469">
        <f t="shared" si="6"/>
        <v>3933992</v>
      </c>
      <c r="F73" s="667">
        <f t="shared" si="45"/>
        <v>1234</v>
      </c>
      <c r="G73" s="495">
        <f>+'[5]Sheet1'!C67</f>
        <v>2331</v>
      </c>
      <c r="H73" s="469">
        <f t="shared" si="7"/>
        <v>372996</v>
      </c>
      <c r="I73" s="495">
        <f t="shared" si="8"/>
        <v>117</v>
      </c>
      <c r="J73" s="495">
        <f>+'[8]A'!C72</f>
        <v>1337</v>
      </c>
      <c r="K73" s="469">
        <f t="shared" si="9"/>
        <v>6395128</v>
      </c>
      <c r="L73" s="495">
        <f t="shared" si="10"/>
        <v>2006</v>
      </c>
      <c r="M73" s="495">
        <f>+'[8]A'!D72</f>
        <v>658</v>
      </c>
      <c r="N73" s="35">
        <f t="shared" si="11"/>
        <v>1259260</v>
      </c>
      <c r="O73" s="34">
        <f t="shared" si="12"/>
        <v>395</v>
      </c>
      <c r="P73" s="34">
        <f t="shared" si="13"/>
        <v>0</v>
      </c>
      <c r="Q73" s="366">
        <f t="shared" si="14"/>
        <v>0</v>
      </c>
      <c r="R73" s="35">
        <f t="shared" si="15"/>
        <v>0</v>
      </c>
      <c r="S73" s="34">
        <f t="shared" si="16"/>
        <v>0</v>
      </c>
      <c r="T73" s="34">
        <f t="shared" si="17"/>
        <v>3752</v>
      </c>
      <c r="U73" s="34">
        <f t="shared" si="18"/>
        <v>13355</v>
      </c>
      <c r="V73" s="35">
        <f t="shared" si="19"/>
        <v>3188</v>
      </c>
      <c r="W73" s="35">
        <f t="shared" si="20"/>
        <v>42575740</v>
      </c>
      <c r="X73" s="38">
        <f>'Table 6 Local Wealth Factor'!L72</f>
        <v>1.20434662</v>
      </c>
      <c r="Y73" s="38">
        <f t="shared" si="21"/>
        <v>0.01376702</v>
      </c>
      <c r="Z73" s="38">
        <f t="shared" si="22"/>
        <v>0.01658026</v>
      </c>
      <c r="AA73" s="35">
        <f t="shared" si="46"/>
        <v>17946579</v>
      </c>
      <c r="AB73" s="39">
        <f t="shared" si="23"/>
        <v>0.4215</v>
      </c>
      <c r="AC73" s="524">
        <f t="shared" si="24"/>
        <v>24629161</v>
      </c>
      <c r="AD73" s="39">
        <f t="shared" si="25"/>
        <v>0.5785</v>
      </c>
      <c r="AE73" s="595">
        <f>'Table 7 Local Revenue'!AL72</f>
        <v>22805094</v>
      </c>
      <c r="AF73" s="35">
        <f t="shared" si="26"/>
        <v>4858515</v>
      </c>
      <c r="AG73" s="42">
        <f t="shared" si="27"/>
        <v>0</v>
      </c>
      <c r="AH73" s="35">
        <f t="shared" si="28"/>
        <v>14049994</v>
      </c>
      <c r="AI73" s="40">
        <f t="shared" si="29"/>
        <v>4858515</v>
      </c>
      <c r="AJ73" s="524">
        <f t="shared" si="30"/>
        <v>1347713</v>
      </c>
      <c r="AK73" s="39">
        <f t="shared" si="31"/>
        <v>0.27739196030062685</v>
      </c>
      <c r="AL73" s="35">
        <f t="shared" si="32"/>
        <v>2549643</v>
      </c>
      <c r="AM73" s="35">
        <f t="shared" si="33"/>
        <v>6206228</v>
      </c>
      <c r="AN73" s="35">
        <f t="shared" si="34"/>
        <v>25976874</v>
      </c>
      <c r="AO73" s="35">
        <f>ROUND(AN73/C73,2)</f>
        <v>2705.08</v>
      </c>
      <c r="AP73" s="35">
        <f>'Table 4 Level 3'!AE70</f>
        <v>1556890</v>
      </c>
      <c r="AQ73" s="35">
        <f t="shared" si="35"/>
        <v>162.13</v>
      </c>
      <c r="AR73" s="524">
        <f t="shared" si="36"/>
        <v>27533764</v>
      </c>
      <c r="AS73" s="35">
        <f>AR73-'Table 2 Distribution &amp; Adjusts'!K70</f>
        <v>1011651.7494335026</v>
      </c>
      <c r="AT73" s="524">
        <f t="shared" si="48"/>
        <v>2867.2</v>
      </c>
      <c r="AU73" s="34">
        <f t="shared" si="37"/>
        <v>57</v>
      </c>
      <c r="AV73" s="39">
        <f t="shared" si="49"/>
        <v>0.547</v>
      </c>
      <c r="AW73" s="34">
        <f t="shared" si="38"/>
        <v>50</v>
      </c>
      <c r="AX73" s="35">
        <f t="shared" si="39"/>
        <v>22805094</v>
      </c>
      <c r="AY73" s="35">
        <f>ROUND(AX73/C73,2)</f>
        <v>2374.79</v>
      </c>
      <c r="AZ73" s="34">
        <f t="shared" si="40"/>
        <v>25</v>
      </c>
      <c r="BA73" s="39">
        <f t="shared" si="41"/>
        <v>0.453</v>
      </c>
      <c r="BB73" s="35">
        <f t="shared" si="51"/>
        <v>50338858</v>
      </c>
      <c r="BC73" s="35">
        <f>ROUND(BB73/C73,2)</f>
        <v>5241.99</v>
      </c>
      <c r="BD73" s="34">
        <f t="shared" si="42"/>
        <v>52</v>
      </c>
      <c r="BE73" s="801">
        <v>33195.7865620586</v>
      </c>
      <c r="BF73" s="383">
        <f t="shared" si="43"/>
        <v>35255.7865620586</v>
      </c>
      <c r="BG73" s="519">
        <f t="shared" si="44"/>
        <v>24</v>
      </c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</row>
    <row r="74" spans="1:156" s="6" customFormat="1" ht="12.75">
      <c r="A74" s="666">
        <v>66</v>
      </c>
      <c r="B74" s="495" t="s">
        <v>70</v>
      </c>
      <c r="C74" s="495">
        <f>+'Table 8 Membership'!U74</f>
        <v>3019</v>
      </c>
      <c r="D74" s="495">
        <v>2372</v>
      </c>
      <c r="E74" s="469">
        <f>ROUND(V74*F74,0)</f>
        <v>1284764</v>
      </c>
      <c r="F74" s="667">
        <f>ROUND(D74*F$5,0)</f>
        <v>403</v>
      </c>
      <c r="G74" s="495">
        <f>+'[5]Sheet1'!C68</f>
        <v>621</v>
      </c>
      <c r="H74" s="469">
        <f>ROUND(I74*V74,0)</f>
        <v>98828</v>
      </c>
      <c r="I74" s="495">
        <f>ROUND(G74*I$5,0)</f>
        <v>31</v>
      </c>
      <c r="J74" s="495">
        <f>+'[8]A'!C73</f>
        <v>640</v>
      </c>
      <c r="K74" s="469">
        <f>ROUND(L74*V74,0)</f>
        <v>3060480</v>
      </c>
      <c r="L74" s="495">
        <f>ROUND(J74*L$5,0)</f>
        <v>960</v>
      </c>
      <c r="M74" s="495">
        <f>+'[8]A'!D73</f>
        <v>288</v>
      </c>
      <c r="N74" s="35">
        <f>ROUND(O74*V74,0)</f>
        <v>551524</v>
      </c>
      <c r="O74" s="34">
        <f>ROUND(M74*O$5,0)</f>
        <v>173</v>
      </c>
      <c r="P74" s="34">
        <f>IF(C74&lt;$P$5,$P$5-C74,0)</f>
        <v>4481</v>
      </c>
      <c r="Q74" s="366">
        <f>ROUND(P74/$Q$5,5)</f>
        <v>0.11949</v>
      </c>
      <c r="R74" s="35">
        <f>ROUND(S74*V74,0)</f>
        <v>1150868</v>
      </c>
      <c r="S74" s="34">
        <f>ROUND(C74*Q74,0)</f>
        <v>361</v>
      </c>
      <c r="T74" s="34">
        <f>SUM(F74+I74+L74+O74+S74,0)</f>
        <v>1928</v>
      </c>
      <c r="U74" s="34">
        <f>T74+C74</f>
        <v>4947</v>
      </c>
      <c r="V74" s="35">
        <f>V$76</f>
        <v>3188</v>
      </c>
      <c r="W74" s="35">
        <f>ROUND(U74*V74,0)</f>
        <v>15771036</v>
      </c>
      <c r="X74" s="38">
        <f>'Table 6 Local Wealth Factor'!L73</f>
        <v>0.62906747</v>
      </c>
      <c r="Y74" s="38">
        <f>ROUND(U74/U$76,8)</f>
        <v>0.00509962</v>
      </c>
      <c r="Z74" s="38">
        <f>ROUND(X74*Y74,8)</f>
        <v>0.00320801</v>
      </c>
      <c r="AA74" s="35">
        <f t="shared" si="46"/>
        <v>3472370</v>
      </c>
      <c r="AB74" s="39">
        <f>ROUND(AA74/W74,4)</f>
        <v>0.2202</v>
      </c>
      <c r="AC74" s="524">
        <f>IF(W74-AA74&gt;0,W74-AA74,0)</f>
        <v>12298666</v>
      </c>
      <c r="AD74" s="39">
        <f>ROUND(AC74/W74,4)</f>
        <v>0.7798</v>
      </c>
      <c r="AE74" s="595">
        <f>'Table 7 Local Revenue'!AL73</f>
        <v>4321817</v>
      </c>
      <c r="AF74" s="35">
        <f>IF(AE74-AA74&gt;0,AE74-AA74,0)</f>
        <v>849447</v>
      </c>
      <c r="AG74" s="42">
        <f>IF(AE74-AA74&lt;0,AE74-AA74,0)</f>
        <v>0</v>
      </c>
      <c r="AH74" s="35">
        <f>ROUND(W74*AH$5,0)</f>
        <v>5204442</v>
      </c>
      <c r="AI74" s="40">
        <f>IF(AF74&lt;AH74,AF74,AH74)</f>
        <v>849447</v>
      </c>
      <c r="AJ74" s="524">
        <f>IF((1-((1-AJ$5)*X74))*AI74&gt;0,ROUND((1-((1-AJ$5)*X74))*AI74,0),0)</f>
        <v>528831</v>
      </c>
      <c r="AK74" s="39">
        <f>IF(AI74=0,0,AJ74/AI74)</f>
        <v>0.6225591473040696</v>
      </c>
      <c r="AL74" s="35">
        <f>IF(((1-((1-AL$5)*X74))*AH74)-AJ74&gt;0,ROUND(((1-((1-AL$5)*X74))*AH74)-AJ74,0),0)</f>
        <v>2711244</v>
      </c>
      <c r="AM74" s="35">
        <f>AI74+AJ74</f>
        <v>1378278</v>
      </c>
      <c r="AN74" s="35">
        <f>+AJ74+AC74</f>
        <v>12827497</v>
      </c>
      <c r="AO74" s="35">
        <f>ROUND(AN74/C74,2)</f>
        <v>4248.92</v>
      </c>
      <c r="AP74" s="35">
        <f>'Table 4 Level 3'!AE71</f>
        <v>-152068</v>
      </c>
      <c r="AQ74" s="35">
        <f>ROUND(AP74/C74,2)</f>
        <v>-50.37</v>
      </c>
      <c r="AR74" s="524">
        <f>+AN74+AP74</f>
        <v>12675429</v>
      </c>
      <c r="AS74" s="35">
        <f>AR74-'Table 2 Distribution &amp; Adjusts'!K71</f>
        <v>552123.7719438281</v>
      </c>
      <c r="AT74" s="524">
        <f t="shared" si="48"/>
        <v>4198.55</v>
      </c>
      <c r="AU74" s="34">
        <f>RANK(AT74,$AT$9:$AT$74)</f>
        <v>12</v>
      </c>
      <c r="AV74" s="39">
        <f t="shared" si="49"/>
        <v>0.7457</v>
      </c>
      <c r="AW74" s="34">
        <f>RANK(AV74,$AV$9:$AV$74)</f>
        <v>16</v>
      </c>
      <c r="AX74" s="35">
        <f>ROUND(AA74+AI74,2)</f>
        <v>4321817</v>
      </c>
      <c r="AY74" s="35">
        <f>ROUND(AX74/C74,2)</f>
        <v>1431.54</v>
      </c>
      <c r="AZ74" s="34">
        <f>RANK(AY74,$AY$9:$AY$74)</f>
        <v>48</v>
      </c>
      <c r="BA74" s="39">
        <f>ROUND(AX74/BB74,4)</f>
        <v>0.2543</v>
      </c>
      <c r="BB74" s="35">
        <f t="shared" si="51"/>
        <v>16997246</v>
      </c>
      <c r="BC74" s="35">
        <f>ROUND(BB74/C74,2)</f>
        <v>5630.09</v>
      </c>
      <c r="BD74" s="34">
        <f>RANK(BC74,$BC$9:$BC$74)</f>
        <v>39</v>
      </c>
      <c r="BE74" s="801">
        <v>31610.9626741071</v>
      </c>
      <c r="BF74" s="383">
        <f>+BE74+$BF$5</f>
        <v>33670.9626741071</v>
      </c>
      <c r="BG74" s="519">
        <f>RANK(BF74,$BF$9:$BF$74)</f>
        <v>40</v>
      </c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</row>
    <row r="75" spans="1:59" ht="13.5" thickBot="1">
      <c r="A75" s="670"/>
      <c r="B75" s="671"/>
      <c r="C75" s="671"/>
      <c r="D75" s="671"/>
      <c r="E75" s="671" t="s">
        <v>5</v>
      </c>
      <c r="F75" s="672"/>
      <c r="G75" s="671"/>
      <c r="H75" s="671"/>
      <c r="I75" s="671"/>
      <c r="J75" s="671"/>
      <c r="K75" s="671"/>
      <c r="L75" s="671"/>
      <c r="M75" s="671"/>
      <c r="N75" s="30"/>
      <c r="O75" s="30"/>
      <c r="P75" s="30"/>
      <c r="Q75" s="513"/>
      <c r="R75" s="30"/>
      <c r="S75" s="30"/>
      <c r="T75" s="30"/>
      <c r="U75" s="30"/>
      <c r="V75" s="30"/>
      <c r="W75" s="30"/>
      <c r="X75" s="31"/>
      <c r="Y75" s="31"/>
      <c r="Z75" s="31"/>
      <c r="AA75" s="30"/>
      <c r="AB75" s="30"/>
      <c r="AC75" s="526"/>
      <c r="AD75" s="41"/>
      <c r="AE75" s="400"/>
      <c r="AF75" s="30"/>
      <c r="AG75" s="30"/>
      <c r="AH75" s="30"/>
      <c r="AI75" s="30"/>
      <c r="AJ75" s="528"/>
      <c r="AK75" s="41"/>
      <c r="AL75" s="30"/>
      <c r="AM75" s="30"/>
      <c r="AN75" s="30"/>
      <c r="AO75" s="30"/>
      <c r="AP75" s="30"/>
      <c r="AQ75" s="30"/>
      <c r="AR75" s="526"/>
      <c r="AS75" s="30"/>
      <c r="AT75" s="526"/>
      <c r="AU75" s="34"/>
      <c r="AV75" s="41"/>
      <c r="AW75" s="34"/>
      <c r="AX75" s="30"/>
      <c r="AY75" s="42"/>
      <c r="AZ75" s="34"/>
      <c r="BA75" s="39"/>
      <c r="BB75" s="42"/>
      <c r="BC75" s="42"/>
      <c r="BD75" s="34"/>
      <c r="BE75" s="61"/>
      <c r="BF75" s="384"/>
      <c r="BG75" s="521"/>
    </row>
    <row r="76" spans="1:59" ht="13.5" thickBot="1">
      <c r="A76" s="673"/>
      <c r="B76" s="674" t="s">
        <v>71</v>
      </c>
      <c r="C76" s="675">
        <f aca="true" t="shared" si="53" ref="C76:P76">SUM(C9:C74)</f>
        <v>714020</v>
      </c>
      <c r="D76" s="675">
        <f t="shared" si="53"/>
        <v>420907</v>
      </c>
      <c r="E76" s="610">
        <f t="shared" si="53"/>
        <v>228120528</v>
      </c>
      <c r="F76" s="676">
        <f t="shared" si="53"/>
        <v>71556</v>
      </c>
      <c r="G76" s="675">
        <f t="shared" si="53"/>
        <v>175868</v>
      </c>
      <c r="H76" s="610">
        <f t="shared" si="53"/>
        <v>28032084</v>
      </c>
      <c r="I76" s="675">
        <f t="shared" si="53"/>
        <v>8793</v>
      </c>
      <c r="J76" s="675">
        <f t="shared" si="53"/>
        <v>98459</v>
      </c>
      <c r="K76" s="677">
        <f t="shared" si="53"/>
        <v>470883540</v>
      </c>
      <c r="L76" s="675">
        <f t="shared" si="53"/>
        <v>147705</v>
      </c>
      <c r="M76" s="675">
        <f t="shared" si="53"/>
        <v>26121</v>
      </c>
      <c r="N76" s="185">
        <f t="shared" si="53"/>
        <v>49962336</v>
      </c>
      <c r="O76" s="192">
        <f t="shared" si="53"/>
        <v>15672</v>
      </c>
      <c r="P76" s="192">
        <f t="shared" si="53"/>
        <v>153739</v>
      </c>
      <c r="Q76" s="364"/>
      <c r="R76" s="185">
        <f>SUM(R9:R74)</f>
        <v>39295288</v>
      </c>
      <c r="S76" s="192">
        <f>SUM(S9:S74)</f>
        <v>12326</v>
      </c>
      <c r="T76" s="192">
        <f>SUM(T9:T74)</f>
        <v>256052</v>
      </c>
      <c r="U76" s="192">
        <f>SUM(U9:U74)</f>
        <v>970072</v>
      </c>
      <c r="V76" s="185">
        <v>3188</v>
      </c>
      <c r="W76" s="185">
        <f>SUM(W9:W74)</f>
        <v>3092589536</v>
      </c>
      <c r="X76" s="193">
        <f>'Table 6 Local Wealth Factor'!L75</f>
        <v>1</v>
      </c>
      <c r="Y76" s="193">
        <f>ROUND(U76/U$76,8)</f>
        <v>1</v>
      </c>
      <c r="Z76" s="193">
        <f>ROUND(X76*Y76,8)</f>
        <v>1</v>
      </c>
      <c r="AA76" s="185">
        <f>SUM(AA9:AA74)</f>
        <v>1082409592</v>
      </c>
      <c r="AB76" s="194">
        <f>ROUND(AA76/W76,4)</f>
        <v>0.35</v>
      </c>
      <c r="AC76" s="527">
        <f>SUM(AC9:AC74)</f>
        <v>2010179944</v>
      </c>
      <c r="AD76" s="194">
        <f>ROUND(AC76/W76,4)</f>
        <v>0.65</v>
      </c>
      <c r="AE76" s="741">
        <f aca="true" t="shared" si="54" ref="AE76:AJ76">SUM(AE9:AE74)</f>
        <v>1781860271</v>
      </c>
      <c r="AF76" s="185">
        <f t="shared" si="54"/>
        <v>700260107</v>
      </c>
      <c r="AG76" s="185">
        <f t="shared" si="54"/>
        <v>-809428</v>
      </c>
      <c r="AH76" s="185">
        <f t="shared" si="54"/>
        <v>1020554546</v>
      </c>
      <c r="AI76" s="185">
        <f t="shared" si="54"/>
        <v>652331793.5</v>
      </c>
      <c r="AJ76" s="527">
        <f t="shared" si="54"/>
        <v>239307812</v>
      </c>
      <c r="AK76" s="194">
        <f>IF(AI76=0,0,AJ76/AI76)</f>
        <v>0.3668498368231074</v>
      </c>
      <c r="AL76" s="185">
        <f>SUM(AL9:AL74)</f>
        <v>175359940</v>
      </c>
      <c r="AM76" s="185">
        <f>SUM(AM9:AM74)</f>
        <v>891639605.5</v>
      </c>
      <c r="AN76" s="185">
        <f>SUM(AN9:AN74)</f>
        <v>2249487756</v>
      </c>
      <c r="AO76" s="610">
        <f>ROUND(AN76/C76,2)</f>
        <v>3150.45</v>
      </c>
      <c r="AP76" s="185">
        <f>SUM(AP9:AP74)</f>
        <v>140551715</v>
      </c>
      <c r="AQ76" s="185">
        <f>ROUND(AP76/C76,2)</f>
        <v>196.85</v>
      </c>
      <c r="AR76" s="527">
        <f>SUM(AR9:AR74)</f>
        <v>2390039471</v>
      </c>
      <c r="AS76" s="185">
        <f>SUM(AS9:AS74)</f>
        <v>114073958.26350002</v>
      </c>
      <c r="AT76" s="527">
        <f>ROUND(AR76/C76,2)</f>
        <v>3347.3</v>
      </c>
      <c r="AU76" s="192"/>
      <c r="AV76" s="194">
        <f>ROUND(AR76/BB76,4)</f>
        <v>0.5794</v>
      </c>
      <c r="AW76" s="192"/>
      <c r="AX76" s="185">
        <f>SUM(AX9:AX74)</f>
        <v>1734741385.5</v>
      </c>
      <c r="AY76" s="185">
        <f>ROUND(AX76/C76,2)</f>
        <v>2429.54</v>
      </c>
      <c r="AZ76" s="192"/>
      <c r="BA76" s="195">
        <f>ROUND(AX76/BB76,4)</f>
        <v>0.4206</v>
      </c>
      <c r="BB76" s="185">
        <f>SUM(BB9:BB74)</f>
        <v>4124780856.5</v>
      </c>
      <c r="BC76" s="185">
        <f>ROUND(BB76/C76,2)</f>
        <v>5776.84</v>
      </c>
      <c r="BD76" s="192"/>
      <c r="BE76" s="754">
        <v>33614.7199998159</v>
      </c>
      <c r="BF76" s="514">
        <f>+BE76+$BF$5</f>
        <v>35674.7199998159</v>
      </c>
      <c r="BG76" s="515"/>
    </row>
    <row r="77" spans="1:49" ht="13.5" thickTop="1">
      <c r="A77" s="678"/>
      <c r="B77" s="679"/>
      <c r="C77" s="679"/>
      <c r="D77" s="679"/>
      <c r="E77" s="679"/>
      <c r="F77" s="680"/>
      <c r="G77" s="679"/>
      <c r="H77" s="679"/>
      <c r="I77" s="679"/>
      <c r="J77" s="679"/>
      <c r="K77" s="679"/>
      <c r="L77" s="679"/>
      <c r="M77" s="679"/>
      <c r="V77" s="56"/>
      <c r="X77" s="4" t="s">
        <v>5</v>
      </c>
      <c r="Y77" s="4"/>
      <c r="AN77" s="8"/>
      <c r="AO77" s="8"/>
      <c r="AP77" s="8"/>
      <c r="AQ77" s="8"/>
      <c r="AR77" s="8"/>
      <c r="AS77" s="8"/>
      <c r="AV77" s="7"/>
      <c r="AW77" s="7"/>
    </row>
    <row r="78" spans="1:22" s="113" customFormat="1" ht="12.75">
      <c r="A78" s="681"/>
      <c r="B78" s="682"/>
      <c r="C78" s="682"/>
      <c r="D78" s="682"/>
      <c r="E78" s="682"/>
      <c r="F78" s="682"/>
      <c r="G78" s="682"/>
      <c r="H78" s="682"/>
      <c r="I78" s="682"/>
      <c r="J78" s="682"/>
      <c r="K78" s="682"/>
      <c r="L78" s="682"/>
      <c r="M78" s="682"/>
      <c r="V78" s="318">
        <f>ROUND((V76/3103)-1,4)</f>
        <v>0.0274</v>
      </c>
    </row>
    <row r="79" spans="1:45" ht="12.75">
      <c r="A79" s="678"/>
      <c r="B79" s="679"/>
      <c r="C79" s="679"/>
      <c r="D79" s="679"/>
      <c r="E79" s="679"/>
      <c r="F79" s="680"/>
      <c r="G79" s="679"/>
      <c r="H79" s="679"/>
      <c r="I79" s="679"/>
      <c r="J79" s="679"/>
      <c r="K79" s="683"/>
      <c r="L79" s="683"/>
      <c r="M79" s="683"/>
      <c r="U79" s="2">
        <v>2.75</v>
      </c>
      <c r="V79" s="2">
        <f>3103*1.0275</f>
        <v>3188.3325000000004</v>
      </c>
      <c r="X79" s="4"/>
      <c r="Y79" s="4"/>
      <c r="AC79" s="8"/>
      <c r="AN79" s="9"/>
      <c r="AO79" s="9"/>
      <c r="AP79" s="9"/>
      <c r="AQ79" s="9"/>
      <c r="AR79" s="9"/>
      <c r="AS79" s="9"/>
    </row>
    <row r="80" spans="1:45" ht="12.75">
      <c r="A80" s="678"/>
      <c r="B80" s="679"/>
      <c r="C80" s="679"/>
      <c r="D80" s="679"/>
      <c r="E80" s="679"/>
      <c r="F80" s="679"/>
      <c r="G80" s="679"/>
      <c r="H80" s="679"/>
      <c r="I80" s="679"/>
      <c r="J80" s="679"/>
      <c r="K80" s="679"/>
      <c r="L80" s="679"/>
      <c r="M80" s="679"/>
      <c r="V80" s="321"/>
      <c r="X80" s="4"/>
      <c r="Y80" s="4"/>
      <c r="AN80" s="8"/>
      <c r="AO80" s="8"/>
      <c r="AP80" s="8"/>
      <c r="AQ80" s="8"/>
      <c r="AR80" s="8"/>
      <c r="AS80" s="8"/>
    </row>
    <row r="81" spans="1:45" ht="12.75">
      <c r="A81" s="678"/>
      <c r="B81" s="679"/>
      <c r="C81" s="679"/>
      <c r="D81" s="679"/>
      <c r="E81" s="679"/>
      <c r="F81" s="679"/>
      <c r="G81" s="679"/>
      <c r="H81" s="679"/>
      <c r="I81" s="679"/>
      <c r="J81" s="679"/>
      <c r="K81" s="679"/>
      <c r="L81" s="679"/>
      <c r="M81" s="679"/>
      <c r="X81" s="4"/>
      <c r="Y81" s="4"/>
      <c r="AN81" s="8"/>
      <c r="AO81" s="8"/>
      <c r="AP81" s="8"/>
      <c r="AQ81" s="8"/>
      <c r="AR81" s="8"/>
      <c r="AS81" s="8"/>
    </row>
    <row r="82" spans="1:55" ht="12.75">
      <c r="A82" s="678"/>
      <c r="B82" s="679"/>
      <c r="C82" s="679"/>
      <c r="D82" s="679"/>
      <c r="E82" s="679"/>
      <c r="F82" s="679"/>
      <c r="G82" s="679"/>
      <c r="H82" s="679"/>
      <c r="I82" s="679"/>
      <c r="J82" s="679"/>
      <c r="K82" s="679"/>
      <c r="L82" s="679"/>
      <c r="M82" s="679"/>
      <c r="X82" s="4"/>
      <c r="Y82" s="4"/>
      <c r="AN82" s="8"/>
      <c r="AO82" s="8"/>
      <c r="AP82" s="8"/>
      <c r="AQ82" s="8"/>
      <c r="AR82" s="8"/>
      <c r="AS82" s="8"/>
      <c r="AT82" s="7"/>
      <c r="AU82" s="7"/>
      <c r="AY82" s="7"/>
      <c r="AZ82" s="7"/>
      <c r="BC82" s="7"/>
    </row>
    <row r="83" spans="1:45" ht="12.75">
      <c r="A83" s="678"/>
      <c r="B83" s="679"/>
      <c r="C83" s="679"/>
      <c r="D83" s="679"/>
      <c r="E83" s="679"/>
      <c r="F83" s="679"/>
      <c r="G83" s="679"/>
      <c r="H83" s="679"/>
      <c r="I83" s="679"/>
      <c r="J83" s="679"/>
      <c r="K83" s="679"/>
      <c r="L83" s="679"/>
      <c r="M83" s="679"/>
      <c r="X83" s="4"/>
      <c r="Y83" s="4"/>
      <c r="AN83" s="8"/>
      <c r="AO83" s="8"/>
      <c r="AP83" s="8"/>
      <c r="AQ83" s="8"/>
      <c r="AR83" s="8"/>
      <c r="AS83" s="8"/>
    </row>
    <row r="84" spans="1:45" ht="12.75">
      <c r="A84" s="678"/>
      <c r="B84" s="679"/>
      <c r="C84" s="679"/>
      <c r="D84" s="679"/>
      <c r="E84" s="679"/>
      <c r="F84" s="679"/>
      <c r="G84" s="679"/>
      <c r="H84" s="679"/>
      <c r="I84" s="679"/>
      <c r="J84" s="679"/>
      <c r="K84" s="679"/>
      <c r="L84" s="679"/>
      <c r="M84" s="679"/>
      <c r="X84" s="4"/>
      <c r="Y84" s="4"/>
      <c r="AN84" s="8"/>
      <c r="AO84" s="8"/>
      <c r="AP84" s="8"/>
      <c r="AQ84" s="8"/>
      <c r="AR84" s="8"/>
      <c r="AS84" s="8"/>
    </row>
    <row r="85" spans="1:45" ht="12.75">
      <c r="A85" s="678"/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X85" s="4"/>
      <c r="Y85" s="4"/>
      <c r="AN85" s="8"/>
      <c r="AO85" s="8"/>
      <c r="AP85" s="8"/>
      <c r="AQ85" s="8"/>
      <c r="AR85" s="8"/>
      <c r="AS85" s="8"/>
    </row>
    <row r="86" spans="1:45" ht="12.75">
      <c r="A86" s="678"/>
      <c r="B86" s="679"/>
      <c r="C86" s="679"/>
      <c r="D86" s="679"/>
      <c r="E86" s="679"/>
      <c r="F86" s="679"/>
      <c r="G86" s="679"/>
      <c r="H86" s="679"/>
      <c r="I86" s="679"/>
      <c r="J86" s="679"/>
      <c r="K86" s="679"/>
      <c r="L86" s="679"/>
      <c r="M86" s="679"/>
      <c r="X86" s="4"/>
      <c r="Y86" s="4"/>
      <c r="AN86" s="8"/>
      <c r="AO86" s="8"/>
      <c r="AP86" s="8"/>
      <c r="AQ86" s="8"/>
      <c r="AR86" s="8"/>
      <c r="AS86" s="8"/>
    </row>
    <row r="87" spans="1:45" ht="12.75">
      <c r="A87" s="678"/>
      <c r="B87" s="679"/>
      <c r="C87" s="679"/>
      <c r="D87" s="679"/>
      <c r="E87" s="679"/>
      <c r="F87" s="679"/>
      <c r="G87" s="679"/>
      <c r="H87" s="679"/>
      <c r="I87" s="679"/>
      <c r="J87" s="679"/>
      <c r="K87" s="679"/>
      <c r="L87" s="679"/>
      <c r="M87" s="679"/>
      <c r="X87" s="4"/>
      <c r="Y87" s="4"/>
      <c r="AN87" s="8"/>
      <c r="AO87" s="8"/>
      <c r="AP87" s="8"/>
      <c r="AQ87" s="8"/>
      <c r="AR87" s="8"/>
      <c r="AS87" s="8"/>
    </row>
    <row r="88" spans="1:45" ht="12.75">
      <c r="A88" s="678"/>
      <c r="B88" s="679"/>
      <c r="C88" s="679"/>
      <c r="D88" s="679"/>
      <c r="E88" s="679"/>
      <c r="F88" s="679"/>
      <c r="G88" s="679"/>
      <c r="H88" s="679"/>
      <c r="I88" s="679"/>
      <c r="J88" s="679"/>
      <c r="K88" s="679"/>
      <c r="L88" s="679"/>
      <c r="M88" s="679"/>
      <c r="X88" s="4"/>
      <c r="Y88" s="4"/>
      <c r="AN88" s="8"/>
      <c r="AO88" s="8"/>
      <c r="AP88" s="8"/>
      <c r="AQ88" s="8"/>
      <c r="AR88" s="8"/>
      <c r="AS88" s="8"/>
    </row>
    <row r="89" spans="1:45" ht="12.75">
      <c r="A89" s="678"/>
      <c r="B89" s="679"/>
      <c r="C89" s="679"/>
      <c r="D89" s="679"/>
      <c r="E89" s="679"/>
      <c r="F89" s="679"/>
      <c r="G89" s="679"/>
      <c r="H89" s="679"/>
      <c r="I89" s="679"/>
      <c r="J89" s="679"/>
      <c r="K89" s="679"/>
      <c r="L89" s="679"/>
      <c r="M89" s="679"/>
      <c r="X89" s="4"/>
      <c r="Y89" s="4"/>
      <c r="AN89" s="8"/>
      <c r="AO89" s="8"/>
      <c r="AP89" s="8"/>
      <c r="AQ89" s="8"/>
      <c r="AR89" s="8"/>
      <c r="AS89" s="8"/>
    </row>
    <row r="90" spans="1:45" ht="12.75">
      <c r="A90" s="678"/>
      <c r="B90" s="679"/>
      <c r="C90" s="679"/>
      <c r="D90" s="679"/>
      <c r="E90" s="679"/>
      <c r="F90" s="679"/>
      <c r="G90" s="679"/>
      <c r="H90" s="679"/>
      <c r="I90" s="679"/>
      <c r="J90" s="679"/>
      <c r="K90" s="679"/>
      <c r="L90" s="679"/>
      <c r="M90" s="679"/>
      <c r="X90" s="4"/>
      <c r="Y90" s="4"/>
      <c r="AN90" s="8"/>
      <c r="AO90" s="8"/>
      <c r="AP90" s="8"/>
      <c r="AQ90" s="8"/>
      <c r="AR90" s="8"/>
      <c r="AS90" s="8"/>
    </row>
    <row r="91" spans="1:45" ht="12.75">
      <c r="A91" s="678"/>
      <c r="B91" s="679"/>
      <c r="C91" s="679"/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X91" s="4"/>
      <c r="Y91" s="4"/>
      <c r="AN91" s="8"/>
      <c r="AO91" s="8"/>
      <c r="AP91" s="8"/>
      <c r="AQ91" s="8"/>
      <c r="AR91" s="8"/>
      <c r="AS91" s="8"/>
    </row>
    <row r="92" spans="1:45" ht="12.75">
      <c r="A92" s="678"/>
      <c r="B92" s="679"/>
      <c r="C92" s="679"/>
      <c r="D92" s="679"/>
      <c r="E92" s="679"/>
      <c r="F92" s="679"/>
      <c r="G92" s="679"/>
      <c r="H92" s="679"/>
      <c r="I92" s="679"/>
      <c r="J92" s="679"/>
      <c r="K92" s="679"/>
      <c r="L92" s="679"/>
      <c r="M92" s="679"/>
      <c r="X92" s="4"/>
      <c r="Y92" s="4"/>
      <c r="AN92" s="8"/>
      <c r="AO92" s="8"/>
      <c r="AP92" s="8"/>
      <c r="AQ92" s="8"/>
      <c r="AR92" s="8"/>
      <c r="AS92" s="8"/>
    </row>
    <row r="93" spans="1:45" ht="12.75">
      <c r="A93" s="678"/>
      <c r="B93" s="679"/>
      <c r="C93" s="679"/>
      <c r="D93" s="679"/>
      <c r="E93" s="679"/>
      <c r="F93" s="679"/>
      <c r="G93" s="679"/>
      <c r="H93" s="679"/>
      <c r="I93" s="679"/>
      <c r="J93" s="679"/>
      <c r="K93" s="679"/>
      <c r="L93" s="679"/>
      <c r="M93" s="679"/>
      <c r="X93" s="4"/>
      <c r="Y93" s="4"/>
      <c r="AN93" s="8"/>
      <c r="AO93" s="8"/>
      <c r="AP93" s="8"/>
      <c r="AQ93" s="8"/>
      <c r="AR93" s="8"/>
      <c r="AS93" s="8"/>
    </row>
    <row r="94" spans="1:45" ht="12.75">
      <c r="A94" s="678"/>
      <c r="B94" s="679"/>
      <c r="C94" s="679"/>
      <c r="D94" s="679"/>
      <c r="E94" s="679"/>
      <c r="F94" s="679"/>
      <c r="G94" s="679"/>
      <c r="H94" s="679"/>
      <c r="I94" s="679"/>
      <c r="J94" s="679"/>
      <c r="K94" s="679"/>
      <c r="L94" s="679"/>
      <c r="M94" s="679"/>
      <c r="X94" s="4"/>
      <c r="Y94" s="4"/>
      <c r="AN94" s="8"/>
      <c r="AO94" s="8"/>
      <c r="AP94" s="8"/>
      <c r="AQ94" s="8"/>
      <c r="AR94" s="8"/>
      <c r="AS94" s="8"/>
    </row>
    <row r="95" spans="1:45" ht="12.75">
      <c r="A95" s="678"/>
      <c r="B95" s="679"/>
      <c r="C95" s="679"/>
      <c r="D95" s="679"/>
      <c r="E95" s="679"/>
      <c r="F95" s="679"/>
      <c r="G95" s="679"/>
      <c r="H95" s="679"/>
      <c r="I95" s="679"/>
      <c r="J95" s="679"/>
      <c r="K95" s="679"/>
      <c r="L95" s="679"/>
      <c r="M95" s="679"/>
      <c r="X95" s="4"/>
      <c r="Y95" s="4"/>
      <c r="AN95" s="8"/>
      <c r="AO95" s="8"/>
      <c r="AP95" s="8"/>
      <c r="AQ95" s="8"/>
      <c r="AR95" s="8"/>
      <c r="AS95" s="8"/>
    </row>
    <row r="96" spans="1:45" ht="12.75">
      <c r="A96" s="678"/>
      <c r="B96" s="679"/>
      <c r="C96" s="679"/>
      <c r="D96" s="679"/>
      <c r="E96" s="679"/>
      <c r="F96" s="679"/>
      <c r="G96" s="679"/>
      <c r="H96" s="679"/>
      <c r="I96" s="679"/>
      <c r="J96" s="679"/>
      <c r="K96" s="679"/>
      <c r="L96" s="679"/>
      <c r="M96" s="679"/>
      <c r="X96" s="4"/>
      <c r="Y96" s="4"/>
      <c r="AN96" s="8"/>
      <c r="AO96" s="8"/>
      <c r="AP96" s="8"/>
      <c r="AQ96" s="8"/>
      <c r="AR96" s="8"/>
      <c r="AS96" s="8"/>
    </row>
    <row r="97" spans="1:45" ht="12.75">
      <c r="A97" s="678"/>
      <c r="B97" s="679"/>
      <c r="C97" s="679"/>
      <c r="D97" s="679"/>
      <c r="E97" s="679"/>
      <c r="F97" s="679"/>
      <c r="G97" s="679"/>
      <c r="H97" s="679"/>
      <c r="I97" s="679"/>
      <c r="J97" s="679"/>
      <c r="K97" s="679"/>
      <c r="L97" s="679"/>
      <c r="M97" s="679"/>
      <c r="X97" s="4"/>
      <c r="Y97" s="4"/>
      <c r="AN97" s="8"/>
      <c r="AO97" s="8"/>
      <c r="AP97" s="8"/>
      <c r="AQ97" s="8"/>
      <c r="AR97" s="8"/>
      <c r="AS97" s="8"/>
    </row>
    <row r="98" spans="1:45" ht="12.75">
      <c r="A98" s="678"/>
      <c r="B98" s="679"/>
      <c r="C98" s="679"/>
      <c r="D98" s="679"/>
      <c r="E98" s="679"/>
      <c r="F98" s="679"/>
      <c r="G98" s="679"/>
      <c r="H98" s="679"/>
      <c r="I98" s="679"/>
      <c r="J98" s="679"/>
      <c r="K98" s="679"/>
      <c r="L98" s="679"/>
      <c r="M98" s="679"/>
      <c r="X98" s="4"/>
      <c r="Y98" s="4"/>
      <c r="AN98" s="8"/>
      <c r="AO98" s="8"/>
      <c r="AP98" s="8"/>
      <c r="AQ98" s="8"/>
      <c r="AR98" s="8"/>
      <c r="AS98" s="8"/>
    </row>
    <row r="99" spans="1:45" ht="12.75">
      <c r="A99" s="678"/>
      <c r="B99" s="679"/>
      <c r="C99" s="679"/>
      <c r="D99" s="679"/>
      <c r="E99" s="679"/>
      <c r="F99" s="679"/>
      <c r="G99" s="679"/>
      <c r="H99" s="679"/>
      <c r="I99" s="679"/>
      <c r="J99" s="679"/>
      <c r="K99" s="679"/>
      <c r="L99" s="679"/>
      <c r="M99" s="679"/>
      <c r="X99" s="4"/>
      <c r="Y99" s="4"/>
      <c r="AN99" s="8"/>
      <c r="AO99" s="8"/>
      <c r="AP99" s="8"/>
      <c r="AQ99" s="8"/>
      <c r="AR99" s="8"/>
      <c r="AS99" s="8"/>
    </row>
    <row r="100" spans="1:45" ht="12.75">
      <c r="A100" s="678"/>
      <c r="B100" s="679"/>
      <c r="C100" s="679"/>
      <c r="D100" s="679"/>
      <c r="E100" s="679"/>
      <c r="F100" s="679"/>
      <c r="G100" s="679"/>
      <c r="H100" s="679"/>
      <c r="I100" s="679"/>
      <c r="J100" s="679"/>
      <c r="K100" s="679"/>
      <c r="L100" s="679"/>
      <c r="M100" s="679"/>
      <c r="X100" s="4"/>
      <c r="Y100" s="4"/>
      <c r="AN100" s="8"/>
      <c r="AO100" s="8"/>
      <c r="AP100" s="8"/>
      <c r="AQ100" s="8"/>
      <c r="AR100" s="8"/>
      <c r="AS100" s="8"/>
    </row>
    <row r="101" spans="1:45" ht="12.75">
      <c r="A101" s="678"/>
      <c r="B101" s="679"/>
      <c r="C101" s="679"/>
      <c r="D101" s="679"/>
      <c r="E101" s="679"/>
      <c r="F101" s="679"/>
      <c r="G101" s="679"/>
      <c r="H101" s="679"/>
      <c r="I101" s="679"/>
      <c r="J101" s="679"/>
      <c r="K101" s="679"/>
      <c r="L101" s="679"/>
      <c r="M101" s="679"/>
      <c r="X101" s="4"/>
      <c r="Y101" s="4"/>
      <c r="AN101" s="8"/>
      <c r="AO101" s="8"/>
      <c r="AP101" s="8"/>
      <c r="AQ101" s="8"/>
      <c r="AR101" s="8"/>
      <c r="AS101" s="8"/>
    </row>
    <row r="102" spans="1:45" ht="12.75">
      <c r="A102" s="678"/>
      <c r="B102" s="679"/>
      <c r="C102" s="679"/>
      <c r="D102" s="679"/>
      <c r="E102" s="679"/>
      <c r="F102" s="679"/>
      <c r="G102" s="679"/>
      <c r="H102" s="679"/>
      <c r="I102" s="679"/>
      <c r="J102" s="679"/>
      <c r="K102" s="679"/>
      <c r="L102" s="679"/>
      <c r="M102" s="679"/>
      <c r="X102" s="4"/>
      <c r="Y102" s="4"/>
      <c r="AN102" s="8"/>
      <c r="AO102" s="8"/>
      <c r="AP102" s="8"/>
      <c r="AQ102" s="8"/>
      <c r="AR102" s="8"/>
      <c r="AS102" s="8"/>
    </row>
    <row r="103" spans="1:45" ht="12.75">
      <c r="A103" s="678"/>
      <c r="B103" s="679"/>
      <c r="C103" s="679"/>
      <c r="D103" s="679"/>
      <c r="E103" s="679"/>
      <c r="F103" s="679"/>
      <c r="G103" s="679"/>
      <c r="H103" s="679"/>
      <c r="I103" s="679"/>
      <c r="J103" s="679"/>
      <c r="K103" s="679"/>
      <c r="L103" s="679"/>
      <c r="M103" s="679"/>
      <c r="X103" s="4"/>
      <c r="Y103" s="4"/>
      <c r="AN103" s="8"/>
      <c r="AO103" s="8"/>
      <c r="AP103" s="8"/>
      <c r="AQ103" s="8"/>
      <c r="AR103" s="8"/>
      <c r="AS103" s="8"/>
    </row>
    <row r="104" spans="1:45" ht="12.75">
      <c r="A104" s="678"/>
      <c r="B104" s="679"/>
      <c r="C104" s="679"/>
      <c r="D104" s="679"/>
      <c r="E104" s="679"/>
      <c r="F104" s="679"/>
      <c r="G104" s="679"/>
      <c r="H104" s="679"/>
      <c r="I104" s="679"/>
      <c r="J104" s="679"/>
      <c r="K104" s="679"/>
      <c r="L104" s="679"/>
      <c r="M104" s="679"/>
      <c r="X104" s="4"/>
      <c r="Y104" s="4"/>
      <c r="AN104" s="8"/>
      <c r="AO104" s="8"/>
      <c r="AP104" s="8"/>
      <c r="AQ104" s="8"/>
      <c r="AR104" s="8"/>
      <c r="AS104" s="8"/>
    </row>
    <row r="105" spans="1:45" ht="12.75">
      <c r="A105" s="678"/>
      <c r="B105" s="679"/>
      <c r="C105" s="679"/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X105" s="4"/>
      <c r="Y105" s="4"/>
      <c r="AN105" s="8"/>
      <c r="AO105" s="8"/>
      <c r="AP105" s="8"/>
      <c r="AQ105" s="8"/>
      <c r="AR105" s="8"/>
      <c r="AS105" s="8"/>
    </row>
    <row r="106" spans="1:45" ht="12.75">
      <c r="A106" s="678"/>
      <c r="B106" s="679"/>
      <c r="C106" s="679"/>
      <c r="D106" s="679"/>
      <c r="E106" s="679"/>
      <c r="F106" s="679"/>
      <c r="G106" s="679"/>
      <c r="H106" s="679"/>
      <c r="I106" s="679"/>
      <c r="J106" s="679"/>
      <c r="K106" s="679"/>
      <c r="L106" s="679"/>
      <c r="M106" s="679"/>
      <c r="X106" s="4"/>
      <c r="Y106" s="4"/>
      <c r="AN106" s="8"/>
      <c r="AO106" s="8"/>
      <c r="AP106" s="8"/>
      <c r="AQ106" s="8"/>
      <c r="AR106" s="8"/>
      <c r="AS106" s="8"/>
    </row>
    <row r="107" spans="1:45" ht="12.75">
      <c r="A107" s="678"/>
      <c r="B107" s="679"/>
      <c r="C107" s="679"/>
      <c r="D107" s="679"/>
      <c r="E107" s="679"/>
      <c r="F107" s="679"/>
      <c r="G107" s="679"/>
      <c r="H107" s="679"/>
      <c r="I107" s="679"/>
      <c r="J107" s="679"/>
      <c r="K107" s="679"/>
      <c r="L107" s="679"/>
      <c r="M107" s="679"/>
      <c r="X107" s="4"/>
      <c r="Y107" s="4"/>
      <c r="AN107" s="8"/>
      <c r="AO107" s="8"/>
      <c r="AP107" s="8"/>
      <c r="AQ107" s="8"/>
      <c r="AR107" s="8"/>
      <c r="AS107" s="8"/>
    </row>
    <row r="108" spans="1:45" ht="12.75">
      <c r="A108" s="678"/>
      <c r="B108" s="679"/>
      <c r="C108" s="679"/>
      <c r="D108" s="679"/>
      <c r="E108" s="679"/>
      <c r="F108" s="679"/>
      <c r="G108" s="679"/>
      <c r="H108" s="679"/>
      <c r="I108" s="679"/>
      <c r="J108" s="679"/>
      <c r="K108" s="679"/>
      <c r="L108" s="679"/>
      <c r="M108" s="679"/>
      <c r="X108" s="4"/>
      <c r="Y108" s="4"/>
      <c r="AN108" s="8"/>
      <c r="AO108" s="8"/>
      <c r="AP108" s="8"/>
      <c r="AQ108" s="8"/>
      <c r="AR108" s="8"/>
      <c r="AS108" s="8"/>
    </row>
    <row r="109" spans="1:45" ht="12.75">
      <c r="A109" s="678"/>
      <c r="B109" s="679"/>
      <c r="C109" s="679"/>
      <c r="D109" s="679"/>
      <c r="E109" s="679"/>
      <c r="F109" s="679"/>
      <c r="G109" s="679"/>
      <c r="H109" s="679"/>
      <c r="I109" s="679"/>
      <c r="J109" s="679"/>
      <c r="K109" s="679"/>
      <c r="L109" s="679"/>
      <c r="M109" s="679"/>
      <c r="X109" s="4"/>
      <c r="Y109" s="4"/>
      <c r="AN109" s="8"/>
      <c r="AO109" s="8"/>
      <c r="AP109" s="8"/>
      <c r="AQ109" s="8"/>
      <c r="AR109" s="8"/>
      <c r="AS109" s="8"/>
    </row>
    <row r="110" spans="1:45" ht="12.75">
      <c r="A110" s="678"/>
      <c r="B110" s="679"/>
      <c r="C110" s="679"/>
      <c r="D110" s="679"/>
      <c r="E110" s="679"/>
      <c r="F110" s="679"/>
      <c r="G110" s="679"/>
      <c r="H110" s="679"/>
      <c r="I110" s="679"/>
      <c r="J110" s="679"/>
      <c r="K110" s="679"/>
      <c r="L110" s="679"/>
      <c r="M110" s="679"/>
      <c r="X110" s="4"/>
      <c r="Y110" s="4"/>
      <c r="AN110" s="8"/>
      <c r="AO110" s="8"/>
      <c r="AP110" s="8"/>
      <c r="AQ110" s="8"/>
      <c r="AR110" s="8"/>
      <c r="AS110" s="8"/>
    </row>
    <row r="111" spans="1:45" ht="12.75">
      <c r="A111" s="678"/>
      <c r="B111" s="679"/>
      <c r="C111" s="679"/>
      <c r="D111" s="679"/>
      <c r="E111" s="679"/>
      <c r="F111" s="679"/>
      <c r="G111" s="679"/>
      <c r="H111" s="679"/>
      <c r="I111" s="679"/>
      <c r="J111" s="679"/>
      <c r="K111" s="679"/>
      <c r="L111" s="679"/>
      <c r="M111" s="679"/>
      <c r="X111" s="4"/>
      <c r="Y111" s="4"/>
      <c r="AN111" s="8"/>
      <c r="AO111" s="8"/>
      <c r="AP111" s="8"/>
      <c r="AQ111" s="8"/>
      <c r="AR111" s="8"/>
      <c r="AS111" s="8"/>
    </row>
    <row r="112" spans="1:45" ht="12.75">
      <c r="A112" s="678"/>
      <c r="B112" s="679"/>
      <c r="C112" s="679"/>
      <c r="D112" s="679"/>
      <c r="E112" s="679"/>
      <c r="F112" s="679"/>
      <c r="G112" s="679"/>
      <c r="H112" s="679"/>
      <c r="I112" s="679"/>
      <c r="J112" s="679"/>
      <c r="K112" s="679"/>
      <c r="L112" s="679"/>
      <c r="M112" s="679"/>
      <c r="X112" s="4"/>
      <c r="Y112" s="4"/>
      <c r="AN112" s="8"/>
      <c r="AO112" s="8"/>
      <c r="AP112" s="8"/>
      <c r="AQ112" s="8"/>
      <c r="AR112" s="8"/>
      <c r="AS112" s="8"/>
    </row>
    <row r="113" spans="1:45" ht="12.75">
      <c r="A113" s="678"/>
      <c r="B113" s="679"/>
      <c r="C113" s="679"/>
      <c r="D113" s="679"/>
      <c r="E113" s="679"/>
      <c r="F113" s="679"/>
      <c r="G113" s="679"/>
      <c r="H113" s="679"/>
      <c r="I113" s="679"/>
      <c r="J113" s="679"/>
      <c r="K113" s="679"/>
      <c r="L113" s="679"/>
      <c r="M113" s="679"/>
      <c r="X113" s="4"/>
      <c r="Y113" s="4"/>
      <c r="AN113" s="8"/>
      <c r="AO113" s="8"/>
      <c r="AP113" s="8"/>
      <c r="AQ113" s="8"/>
      <c r="AR113" s="8"/>
      <c r="AS113" s="8"/>
    </row>
    <row r="114" spans="1:45" ht="12.75">
      <c r="A114" s="678"/>
      <c r="B114" s="679"/>
      <c r="C114" s="679"/>
      <c r="D114" s="679"/>
      <c r="E114" s="679"/>
      <c r="F114" s="679"/>
      <c r="G114" s="679"/>
      <c r="H114" s="679"/>
      <c r="I114" s="679"/>
      <c r="J114" s="679"/>
      <c r="K114" s="679"/>
      <c r="L114" s="679"/>
      <c r="M114" s="679"/>
      <c r="X114" s="4"/>
      <c r="Y114" s="4"/>
      <c r="AN114" s="8"/>
      <c r="AO114" s="8"/>
      <c r="AP114" s="8"/>
      <c r="AQ114" s="8"/>
      <c r="AR114" s="8"/>
      <c r="AS114" s="8"/>
    </row>
    <row r="115" spans="1:45" ht="12.75">
      <c r="A115" s="678"/>
      <c r="B115" s="679"/>
      <c r="C115" s="679"/>
      <c r="D115" s="679"/>
      <c r="E115" s="679"/>
      <c r="F115" s="679"/>
      <c r="G115" s="679"/>
      <c r="H115" s="679"/>
      <c r="I115" s="679"/>
      <c r="J115" s="679"/>
      <c r="K115" s="679"/>
      <c r="L115" s="679"/>
      <c r="M115" s="679"/>
      <c r="X115" s="4"/>
      <c r="Y115" s="4"/>
      <c r="AN115" s="8"/>
      <c r="AO115" s="8"/>
      <c r="AP115" s="8"/>
      <c r="AQ115" s="8"/>
      <c r="AR115" s="8"/>
      <c r="AS115" s="8"/>
    </row>
    <row r="116" spans="1:45" ht="12.75">
      <c r="A116" s="678"/>
      <c r="B116" s="679"/>
      <c r="C116" s="679"/>
      <c r="D116" s="679"/>
      <c r="E116" s="679"/>
      <c r="F116" s="679"/>
      <c r="G116" s="679"/>
      <c r="H116" s="679"/>
      <c r="I116" s="679"/>
      <c r="J116" s="679"/>
      <c r="K116" s="679"/>
      <c r="L116" s="679"/>
      <c r="M116" s="679"/>
      <c r="X116" s="4"/>
      <c r="Y116" s="4"/>
      <c r="AN116" s="8"/>
      <c r="AO116" s="8"/>
      <c r="AP116" s="8"/>
      <c r="AQ116" s="8"/>
      <c r="AR116" s="8"/>
      <c r="AS116" s="8"/>
    </row>
    <row r="117" spans="1:45" ht="12.75">
      <c r="A117" s="678"/>
      <c r="B117" s="679"/>
      <c r="C117" s="679"/>
      <c r="D117" s="679"/>
      <c r="E117" s="679"/>
      <c r="F117" s="679"/>
      <c r="G117" s="679"/>
      <c r="H117" s="679"/>
      <c r="I117" s="679"/>
      <c r="J117" s="679"/>
      <c r="K117" s="679"/>
      <c r="L117" s="679"/>
      <c r="M117" s="679"/>
      <c r="X117" s="4"/>
      <c r="Y117" s="4"/>
      <c r="AN117" s="8"/>
      <c r="AO117" s="8"/>
      <c r="AP117" s="8"/>
      <c r="AQ117" s="8"/>
      <c r="AR117" s="8"/>
      <c r="AS117" s="8"/>
    </row>
    <row r="118" spans="1:45" ht="12.75">
      <c r="A118" s="678"/>
      <c r="B118" s="679"/>
      <c r="C118" s="679"/>
      <c r="D118" s="679"/>
      <c r="E118" s="679"/>
      <c r="F118" s="679"/>
      <c r="G118" s="679"/>
      <c r="H118" s="679"/>
      <c r="I118" s="679"/>
      <c r="J118" s="679"/>
      <c r="K118" s="679"/>
      <c r="L118" s="679"/>
      <c r="M118" s="679"/>
      <c r="X118" s="4"/>
      <c r="Y118" s="4"/>
      <c r="AN118" s="8"/>
      <c r="AO118" s="8"/>
      <c r="AP118" s="8"/>
      <c r="AQ118" s="8"/>
      <c r="AR118" s="8"/>
      <c r="AS118" s="8"/>
    </row>
    <row r="119" spans="1:45" ht="12.75">
      <c r="A119" s="678"/>
      <c r="B119" s="679"/>
      <c r="C119" s="679"/>
      <c r="D119" s="679"/>
      <c r="E119" s="679"/>
      <c r="F119" s="679"/>
      <c r="G119" s="679"/>
      <c r="H119" s="679"/>
      <c r="I119" s="679"/>
      <c r="J119" s="679"/>
      <c r="K119" s="679"/>
      <c r="L119" s="679"/>
      <c r="M119" s="679"/>
      <c r="X119" s="4"/>
      <c r="Y119" s="4"/>
      <c r="AN119" s="8"/>
      <c r="AO119" s="8"/>
      <c r="AP119" s="8"/>
      <c r="AQ119" s="8"/>
      <c r="AR119" s="8"/>
      <c r="AS119" s="8"/>
    </row>
    <row r="120" spans="1:45" ht="12.75">
      <c r="A120" s="678"/>
      <c r="B120" s="679"/>
      <c r="C120" s="679"/>
      <c r="D120" s="679"/>
      <c r="E120" s="679"/>
      <c r="F120" s="679"/>
      <c r="G120" s="679"/>
      <c r="H120" s="679"/>
      <c r="I120" s="679"/>
      <c r="J120" s="679"/>
      <c r="K120" s="679"/>
      <c r="L120" s="679"/>
      <c r="M120" s="679"/>
      <c r="X120" s="4"/>
      <c r="Y120" s="4"/>
      <c r="AN120" s="8"/>
      <c r="AO120" s="8"/>
      <c r="AP120" s="8"/>
      <c r="AQ120" s="8"/>
      <c r="AR120" s="8"/>
      <c r="AS120" s="8"/>
    </row>
    <row r="121" spans="1:45" ht="12.75">
      <c r="A121" s="678"/>
      <c r="B121" s="679"/>
      <c r="C121" s="679"/>
      <c r="D121" s="679"/>
      <c r="E121" s="679"/>
      <c r="F121" s="679"/>
      <c r="G121" s="679"/>
      <c r="H121" s="679"/>
      <c r="I121" s="679"/>
      <c r="J121" s="679"/>
      <c r="K121" s="679"/>
      <c r="L121" s="679"/>
      <c r="M121" s="679"/>
      <c r="X121" s="4"/>
      <c r="Y121" s="4"/>
      <c r="AN121" s="8"/>
      <c r="AO121" s="8"/>
      <c r="AP121" s="8"/>
      <c r="AQ121" s="8"/>
      <c r="AR121" s="8"/>
      <c r="AS121" s="8"/>
    </row>
    <row r="122" spans="1:45" ht="12.75">
      <c r="A122" s="678"/>
      <c r="B122" s="679"/>
      <c r="C122" s="679"/>
      <c r="D122" s="679"/>
      <c r="E122" s="679"/>
      <c r="F122" s="679"/>
      <c r="G122" s="679"/>
      <c r="H122" s="679"/>
      <c r="I122" s="679"/>
      <c r="J122" s="679"/>
      <c r="K122" s="679"/>
      <c r="L122" s="679"/>
      <c r="M122" s="679"/>
      <c r="X122" s="4"/>
      <c r="Y122" s="4"/>
      <c r="AN122" s="8"/>
      <c r="AO122" s="8"/>
      <c r="AP122" s="8"/>
      <c r="AQ122" s="8"/>
      <c r="AR122" s="8"/>
      <c r="AS122" s="8"/>
    </row>
    <row r="123" spans="1:45" ht="12.75">
      <c r="A123" s="678"/>
      <c r="B123" s="679"/>
      <c r="C123" s="679"/>
      <c r="D123" s="679"/>
      <c r="E123" s="679"/>
      <c r="F123" s="679"/>
      <c r="G123" s="679"/>
      <c r="H123" s="679"/>
      <c r="I123" s="679"/>
      <c r="J123" s="679"/>
      <c r="K123" s="679"/>
      <c r="L123" s="679"/>
      <c r="M123" s="679"/>
      <c r="X123" s="4"/>
      <c r="Y123" s="4"/>
      <c r="AN123" s="8"/>
      <c r="AO123" s="8"/>
      <c r="AP123" s="8"/>
      <c r="AQ123" s="8"/>
      <c r="AR123" s="8"/>
      <c r="AS123" s="8"/>
    </row>
    <row r="124" spans="1:45" ht="12.75">
      <c r="A124" s="678"/>
      <c r="B124" s="679"/>
      <c r="C124" s="679"/>
      <c r="D124" s="679"/>
      <c r="E124" s="679"/>
      <c r="F124" s="679"/>
      <c r="G124" s="679"/>
      <c r="H124" s="679"/>
      <c r="I124" s="679"/>
      <c r="J124" s="679"/>
      <c r="K124" s="679"/>
      <c r="L124" s="679"/>
      <c r="M124" s="679"/>
      <c r="X124" s="4"/>
      <c r="Y124" s="4"/>
      <c r="AN124" s="8"/>
      <c r="AO124" s="8"/>
      <c r="AP124" s="8"/>
      <c r="AQ124" s="8"/>
      <c r="AR124" s="8"/>
      <c r="AS124" s="8"/>
    </row>
    <row r="125" spans="1:45" ht="12.75">
      <c r="A125" s="678"/>
      <c r="B125" s="679"/>
      <c r="C125" s="679"/>
      <c r="D125" s="679"/>
      <c r="E125" s="679"/>
      <c r="F125" s="679"/>
      <c r="G125" s="679"/>
      <c r="H125" s="679"/>
      <c r="I125" s="679"/>
      <c r="J125" s="679"/>
      <c r="K125" s="679"/>
      <c r="L125" s="679"/>
      <c r="M125" s="679"/>
      <c r="X125" s="4"/>
      <c r="Y125" s="4"/>
      <c r="AN125" s="8"/>
      <c r="AO125" s="8"/>
      <c r="AP125" s="8"/>
      <c r="AQ125" s="8"/>
      <c r="AR125" s="8"/>
      <c r="AS125" s="8"/>
    </row>
    <row r="126" spans="1:45" ht="12.75">
      <c r="A126" s="678"/>
      <c r="B126" s="679"/>
      <c r="C126" s="679"/>
      <c r="D126" s="679"/>
      <c r="E126" s="679"/>
      <c r="F126" s="679"/>
      <c r="G126" s="679"/>
      <c r="H126" s="679"/>
      <c r="I126" s="679"/>
      <c r="J126" s="679"/>
      <c r="K126" s="679"/>
      <c r="L126" s="679"/>
      <c r="M126" s="679"/>
      <c r="X126" s="4"/>
      <c r="Y126" s="4"/>
      <c r="AN126" s="8"/>
      <c r="AO126" s="8"/>
      <c r="AP126" s="8"/>
      <c r="AQ126" s="8"/>
      <c r="AR126" s="8"/>
      <c r="AS126" s="8"/>
    </row>
    <row r="127" spans="1:45" ht="12.75">
      <c r="A127" s="678"/>
      <c r="B127" s="679"/>
      <c r="C127" s="679"/>
      <c r="D127" s="679"/>
      <c r="E127" s="679"/>
      <c r="F127" s="679"/>
      <c r="G127" s="679"/>
      <c r="H127" s="679"/>
      <c r="I127" s="679"/>
      <c r="J127" s="679"/>
      <c r="K127" s="679"/>
      <c r="L127" s="679"/>
      <c r="M127" s="679"/>
      <c r="X127" s="4"/>
      <c r="Y127" s="4"/>
      <c r="AN127" s="8"/>
      <c r="AO127" s="8"/>
      <c r="AP127" s="8"/>
      <c r="AQ127" s="8"/>
      <c r="AR127" s="8"/>
      <c r="AS127" s="8"/>
    </row>
    <row r="128" spans="1:45" ht="12.75">
      <c r="A128" s="678"/>
      <c r="B128" s="679"/>
      <c r="C128" s="679"/>
      <c r="D128" s="679"/>
      <c r="E128" s="679"/>
      <c r="F128" s="679"/>
      <c r="G128" s="679"/>
      <c r="H128" s="679"/>
      <c r="I128" s="679"/>
      <c r="J128" s="679"/>
      <c r="K128" s="679"/>
      <c r="L128" s="679"/>
      <c r="M128" s="679"/>
      <c r="X128" s="4"/>
      <c r="Y128" s="4"/>
      <c r="AN128" s="8"/>
      <c r="AO128" s="8"/>
      <c r="AP128" s="8"/>
      <c r="AQ128" s="8"/>
      <c r="AR128" s="8"/>
      <c r="AS128" s="8"/>
    </row>
    <row r="129" spans="1:45" ht="12.75">
      <c r="A129" s="678"/>
      <c r="B129" s="679"/>
      <c r="C129" s="679"/>
      <c r="D129" s="679"/>
      <c r="E129" s="679"/>
      <c r="F129" s="679"/>
      <c r="G129" s="679"/>
      <c r="H129" s="679"/>
      <c r="I129" s="679"/>
      <c r="J129" s="679"/>
      <c r="K129" s="679"/>
      <c r="L129" s="679"/>
      <c r="M129" s="679"/>
      <c r="X129" s="4"/>
      <c r="Y129" s="4"/>
      <c r="AN129" s="8"/>
      <c r="AO129" s="8"/>
      <c r="AP129" s="8"/>
      <c r="AQ129" s="8"/>
      <c r="AR129" s="8"/>
      <c r="AS129" s="8"/>
    </row>
    <row r="130" spans="1:45" ht="12.75">
      <c r="A130" s="678"/>
      <c r="B130" s="679"/>
      <c r="C130" s="679"/>
      <c r="D130" s="679"/>
      <c r="E130" s="679"/>
      <c r="F130" s="679"/>
      <c r="G130" s="679"/>
      <c r="H130" s="679"/>
      <c r="I130" s="679"/>
      <c r="J130" s="679"/>
      <c r="K130" s="679"/>
      <c r="L130" s="679"/>
      <c r="M130" s="679"/>
      <c r="AN130" s="8"/>
      <c r="AO130" s="8"/>
      <c r="AP130" s="8"/>
      <c r="AQ130" s="8"/>
      <c r="AR130" s="8"/>
      <c r="AS130" s="8"/>
    </row>
    <row r="131" spans="1:45" ht="12.75">
      <c r="A131" s="678"/>
      <c r="B131" s="679"/>
      <c r="C131" s="679"/>
      <c r="D131" s="679"/>
      <c r="E131" s="679"/>
      <c r="F131" s="679"/>
      <c r="G131" s="679"/>
      <c r="H131" s="679"/>
      <c r="I131" s="679"/>
      <c r="J131" s="679"/>
      <c r="K131" s="679"/>
      <c r="L131" s="679"/>
      <c r="M131" s="679"/>
      <c r="AN131" s="8"/>
      <c r="AO131" s="8"/>
      <c r="AP131" s="8"/>
      <c r="AQ131" s="8"/>
      <c r="AR131" s="8"/>
      <c r="AS131" s="8"/>
    </row>
    <row r="132" spans="1:45" ht="12.75">
      <c r="A132" s="678"/>
      <c r="B132" s="679"/>
      <c r="C132" s="679"/>
      <c r="D132" s="679"/>
      <c r="E132" s="679"/>
      <c r="F132" s="679"/>
      <c r="G132" s="679"/>
      <c r="H132" s="679"/>
      <c r="I132" s="679"/>
      <c r="J132" s="679"/>
      <c r="K132" s="679"/>
      <c r="L132" s="679"/>
      <c r="M132" s="679"/>
      <c r="AN132" s="8"/>
      <c r="AO132" s="8"/>
      <c r="AP132" s="8"/>
      <c r="AQ132" s="8"/>
      <c r="AR132" s="8"/>
      <c r="AS132" s="8"/>
    </row>
    <row r="133" spans="1:45" ht="12.75">
      <c r="A133" s="678"/>
      <c r="B133" s="679"/>
      <c r="C133" s="679"/>
      <c r="D133" s="679"/>
      <c r="E133" s="679"/>
      <c r="F133" s="679"/>
      <c r="G133" s="679"/>
      <c r="H133" s="679"/>
      <c r="I133" s="679"/>
      <c r="J133" s="679"/>
      <c r="K133" s="679"/>
      <c r="L133" s="679"/>
      <c r="M133" s="679"/>
      <c r="AN133" s="8"/>
      <c r="AO133" s="8"/>
      <c r="AP133" s="8"/>
      <c r="AQ133" s="8"/>
      <c r="AR133" s="8"/>
      <c r="AS133" s="8"/>
    </row>
    <row r="134" spans="1:45" ht="12.75">
      <c r="A134" s="678"/>
      <c r="B134" s="679"/>
      <c r="C134" s="679"/>
      <c r="D134" s="679"/>
      <c r="E134" s="679"/>
      <c r="F134" s="679"/>
      <c r="G134" s="679"/>
      <c r="H134" s="679"/>
      <c r="I134" s="679"/>
      <c r="J134" s="679"/>
      <c r="K134" s="679"/>
      <c r="L134" s="679"/>
      <c r="M134" s="679"/>
      <c r="AN134" s="8"/>
      <c r="AO134" s="8"/>
      <c r="AP134" s="8"/>
      <c r="AQ134" s="8"/>
      <c r="AR134" s="8"/>
      <c r="AS134" s="8"/>
    </row>
    <row r="135" spans="1:45" ht="12.75">
      <c r="A135" s="678"/>
      <c r="B135" s="679"/>
      <c r="C135" s="679"/>
      <c r="D135" s="679"/>
      <c r="E135" s="679"/>
      <c r="F135" s="679"/>
      <c r="G135" s="679"/>
      <c r="H135" s="679"/>
      <c r="I135" s="679"/>
      <c r="J135" s="679"/>
      <c r="K135" s="679"/>
      <c r="L135" s="679"/>
      <c r="M135" s="679"/>
      <c r="AN135" s="8"/>
      <c r="AO135" s="8"/>
      <c r="AP135" s="8"/>
      <c r="AQ135" s="8"/>
      <c r="AR135" s="8"/>
      <c r="AS135" s="8"/>
    </row>
    <row r="136" spans="1:45" ht="12.75">
      <c r="A136" s="678"/>
      <c r="B136" s="679"/>
      <c r="C136" s="679"/>
      <c r="D136" s="679"/>
      <c r="E136" s="679"/>
      <c r="F136" s="679"/>
      <c r="G136" s="679"/>
      <c r="H136" s="679"/>
      <c r="I136" s="679"/>
      <c r="J136" s="679"/>
      <c r="K136" s="679"/>
      <c r="L136" s="679"/>
      <c r="M136" s="679"/>
      <c r="AN136" s="8"/>
      <c r="AO136" s="8"/>
      <c r="AP136" s="8"/>
      <c r="AQ136" s="8"/>
      <c r="AR136" s="8"/>
      <c r="AS136" s="8"/>
    </row>
    <row r="137" spans="1:45" ht="12.75">
      <c r="A137" s="678"/>
      <c r="B137" s="679"/>
      <c r="C137" s="679"/>
      <c r="D137" s="679"/>
      <c r="E137" s="679"/>
      <c r="F137" s="679"/>
      <c r="G137" s="679"/>
      <c r="H137" s="679"/>
      <c r="I137" s="679"/>
      <c r="J137" s="679"/>
      <c r="K137" s="679"/>
      <c r="L137" s="679"/>
      <c r="M137" s="679"/>
      <c r="AN137" s="8"/>
      <c r="AO137" s="8"/>
      <c r="AP137" s="8"/>
      <c r="AQ137" s="8"/>
      <c r="AR137" s="8"/>
      <c r="AS137" s="8"/>
    </row>
    <row r="138" spans="1:45" ht="12.75">
      <c r="A138" s="678"/>
      <c r="B138" s="679"/>
      <c r="C138" s="679"/>
      <c r="D138" s="679"/>
      <c r="E138" s="679"/>
      <c r="F138" s="679"/>
      <c r="G138" s="679"/>
      <c r="H138" s="679"/>
      <c r="I138" s="679"/>
      <c r="J138" s="679"/>
      <c r="K138" s="679"/>
      <c r="L138" s="679"/>
      <c r="M138" s="679"/>
      <c r="AN138" s="8"/>
      <c r="AO138" s="8"/>
      <c r="AP138" s="8"/>
      <c r="AQ138" s="8"/>
      <c r="AR138" s="8"/>
      <c r="AS138" s="8"/>
    </row>
    <row r="139" spans="1:45" ht="12.75">
      <c r="A139" s="678"/>
      <c r="B139" s="679"/>
      <c r="C139" s="679"/>
      <c r="D139" s="679"/>
      <c r="E139" s="679"/>
      <c r="F139" s="679"/>
      <c r="G139" s="679"/>
      <c r="H139" s="679"/>
      <c r="I139" s="679"/>
      <c r="J139" s="679"/>
      <c r="K139" s="679"/>
      <c r="L139" s="679"/>
      <c r="M139" s="679"/>
      <c r="AN139" s="8"/>
      <c r="AO139" s="8"/>
      <c r="AP139" s="8"/>
      <c r="AQ139" s="8"/>
      <c r="AR139" s="8"/>
      <c r="AS139" s="8"/>
    </row>
    <row r="140" spans="1:45" ht="12.75">
      <c r="A140" s="678"/>
      <c r="B140" s="679"/>
      <c r="C140" s="679"/>
      <c r="D140" s="679"/>
      <c r="E140" s="679"/>
      <c r="F140" s="679"/>
      <c r="G140" s="679"/>
      <c r="H140" s="679"/>
      <c r="I140" s="679"/>
      <c r="J140" s="679"/>
      <c r="K140" s="679"/>
      <c r="L140" s="679"/>
      <c r="M140" s="679"/>
      <c r="AN140" s="8"/>
      <c r="AO140" s="8"/>
      <c r="AP140" s="8"/>
      <c r="AQ140" s="8"/>
      <c r="AR140" s="8"/>
      <c r="AS140" s="8"/>
    </row>
    <row r="141" spans="1:45" ht="12.75">
      <c r="A141" s="678"/>
      <c r="B141" s="679"/>
      <c r="C141" s="679"/>
      <c r="D141" s="679"/>
      <c r="E141" s="679"/>
      <c r="F141" s="679"/>
      <c r="G141" s="679"/>
      <c r="H141" s="679"/>
      <c r="I141" s="679"/>
      <c r="J141" s="679"/>
      <c r="K141" s="679"/>
      <c r="L141" s="679"/>
      <c r="M141" s="679"/>
      <c r="AN141" s="8"/>
      <c r="AO141" s="8"/>
      <c r="AP141" s="8"/>
      <c r="AQ141" s="8"/>
      <c r="AR141" s="8"/>
      <c r="AS141" s="8"/>
    </row>
    <row r="142" spans="1:45" ht="12.75">
      <c r="A142" s="678"/>
      <c r="B142" s="679"/>
      <c r="C142" s="679"/>
      <c r="D142" s="679"/>
      <c r="E142" s="679"/>
      <c r="F142" s="679"/>
      <c r="G142" s="679"/>
      <c r="H142" s="679"/>
      <c r="I142" s="679"/>
      <c r="J142" s="679"/>
      <c r="K142" s="679"/>
      <c r="L142" s="679"/>
      <c r="M142" s="679"/>
      <c r="AN142" s="8"/>
      <c r="AO142" s="8"/>
      <c r="AP142" s="8"/>
      <c r="AQ142" s="8"/>
      <c r="AR142" s="8"/>
      <c r="AS142" s="8"/>
    </row>
    <row r="143" spans="1:45" ht="12.75">
      <c r="A143" s="678"/>
      <c r="B143" s="679"/>
      <c r="C143" s="679"/>
      <c r="D143" s="679"/>
      <c r="E143" s="679"/>
      <c r="F143" s="679"/>
      <c r="G143" s="679"/>
      <c r="H143" s="679"/>
      <c r="I143" s="679"/>
      <c r="J143" s="679"/>
      <c r="K143" s="679"/>
      <c r="L143" s="679"/>
      <c r="M143" s="679"/>
      <c r="AN143" s="8"/>
      <c r="AO143" s="8"/>
      <c r="AP143" s="8"/>
      <c r="AQ143" s="8"/>
      <c r="AR143" s="8"/>
      <c r="AS143" s="8"/>
    </row>
    <row r="144" spans="1:45" ht="12.75">
      <c r="A144" s="678"/>
      <c r="B144" s="679"/>
      <c r="C144" s="679"/>
      <c r="D144" s="679"/>
      <c r="E144" s="679"/>
      <c r="F144" s="679"/>
      <c r="G144" s="679"/>
      <c r="H144" s="679"/>
      <c r="I144" s="679"/>
      <c r="J144" s="679"/>
      <c r="K144" s="679"/>
      <c r="L144" s="679"/>
      <c r="M144" s="679"/>
      <c r="AN144" s="8"/>
      <c r="AO144" s="8"/>
      <c r="AP144" s="8"/>
      <c r="AQ144" s="8"/>
      <c r="AR144" s="8"/>
      <c r="AS144" s="8"/>
    </row>
    <row r="145" spans="1:45" ht="12.75">
      <c r="A145" s="678"/>
      <c r="B145" s="679"/>
      <c r="C145" s="679"/>
      <c r="D145" s="679"/>
      <c r="E145" s="679"/>
      <c r="F145" s="679"/>
      <c r="G145" s="679"/>
      <c r="H145" s="679"/>
      <c r="I145" s="679"/>
      <c r="J145" s="679"/>
      <c r="K145" s="679"/>
      <c r="L145" s="679"/>
      <c r="M145" s="679"/>
      <c r="AN145" s="8"/>
      <c r="AO145" s="8"/>
      <c r="AP145" s="8"/>
      <c r="AQ145" s="8"/>
      <c r="AR145" s="8"/>
      <c r="AS145" s="8"/>
    </row>
    <row r="146" spans="1:45" ht="12.75">
      <c r="A146" s="678"/>
      <c r="B146" s="679"/>
      <c r="C146" s="679"/>
      <c r="D146" s="679"/>
      <c r="E146" s="679"/>
      <c r="F146" s="679"/>
      <c r="G146" s="679"/>
      <c r="H146" s="679"/>
      <c r="I146" s="679"/>
      <c r="J146" s="679"/>
      <c r="K146" s="679"/>
      <c r="L146" s="679"/>
      <c r="M146" s="679"/>
      <c r="AN146" s="8"/>
      <c r="AO146" s="8"/>
      <c r="AP146" s="8"/>
      <c r="AQ146" s="8"/>
      <c r="AR146" s="8"/>
      <c r="AS146" s="8"/>
    </row>
    <row r="147" spans="1:13" ht="12.75">
      <c r="A147" s="678"/>
      <c r="B147" s="679"/>
      <c r="C147" s="679"/>
      <c r="D147" s="679"/>
      <c r="E147" s="679"/>
      <c r="F147" s="679"/>
      <c r="G147" s="679"/>
      <c r="H147" s="679"/>
      <c r="I147" s="679"/>
      <c r="J147" s="679"/>
      <c r="K147" s="679"/>
      <c r="L147" s="679"/>
      <c r="M147" s="679"/>
    </row>
    <row r="148" spans="1:13" ht="12.75">
      <c r="A148" s="678"/>
      <c r="B148" s="679"/>
      <c r="C148" s="679"/>
      <c r="D148" s="679"/>
      <c r="E148" s="679"/>
      <c r="F148" s="679"/>
      <c r="G148" s="679"/>
      <c r="H148" s="679"/>
      <c r="I148" s="679"/>
      <c r="J148" s="679"/>
      <c r="K148" s="679"/>
      <c r="L148" s="679"/>
      <c r="M148" s="679"/>
    </row>
    <row r="149" spans="1:13" ht="12.75">
      <c r="A149" s="678"/>
      <c r="B149" s="679"/>
      <c r="C149" s="679"/>
      <c r="D149" s="679"/>
      <c r="E149" s="679"/>
      <c r="F149" s="679"/>
      <c r="G149" s="679"/>
      <c r="H149" s="679"/>
      <c r="I149" s="679"/>
      <c r="J149" s="679"/>
      <c r="K149" s="679"/>
      <c r="L149" s="679"/>
      <c r="M149" s="679"/>
    </row>
    <row r="150" spans="1:13" ht="12.75">
      <c r="A150" s="678"/>
      <c r="B150" s="679"/>
      <c r="C150" s="679"/>
      <c r="D150" s="679"/>
      <c r="E150" s="679"/>
      <c r="F150" s="679"/>
      <c r="G150" s="679"/>
      <c r="H150" s="679"/>
      <c r="I150" s="679"/>
      <c r="J150" s="679"/>
      <c r="K150" s="679"/>
      <c r="L150" s="679"/>
      <c r="M150" s="679"/>
    </row>
    <row r="151" spans="1:13" ht="12.75">
      <c r="A151" s="678"/>
      <c r="B151" s="679"/>
      <c r="C151" s="679"/>
      <c r="D151" s="679"/>
      <c r="E151" s="679"/>
      <c r="F151" s="679"/>
      <c r="G151" s="679"/>
      <c r="H151" s="679"/>
      <c r="I151" s="679"/>
      <c r="J151" s="679"/>
      <c r="K151" s="679"/>
      <c r="L151" s="679"/>
      <c r="M151" s="679"/>
    </row>
    <row r="152" spans="1:13" ht="12.75">
      <c r="A152" s="678"/>
      <c r="B152" s="679"/>
      <c r="C152" s="679"/>
      <c r="D152" s="679"/>
      <c r="E152" s="679"/>
      <c r="F152" s="679"/>
      <c r="G152" s="679"/>
      <c r="H152" s="679"/>
      <c r="I152" s="679"/>
      <c r="J152" s="679"/>
      <c r="K152" s="679"/>
      <c r="L152" s="679"/>
      <c r="M152" s="679"/>
    </row>
    <row r="153" spans="1:13" ht="12.75">
      <c r="A153" s="678"/>
      <c r="B153" s="679"/>
      <c r="C153" s="679"/>
      <c r="D153" s="679"/>
      <c r="E153" s="679"/>
      <c r="F153" s="679"/>
      <c r="G153" s="679"/>
      <c r="H153" s="679"/>
      <c r="I153" s="679"/>
      <c r="J153" s="679"/>
      <c r="K153" s="679"/>
      <c r="L153" s="679"/>
      <c r="M153" s="679"/>
    </row>
    <row r="154" spans="1:13" ht="12.75">
      <c r="A154" s="678"/>
      <c r="B154" s="679"/>
      <c r="C154" s="679"/>
      <c r="D154" s="679"/>
      <c r="E154" s="679"/>
      <c r="F154" s="679"/>
      <c r="G154" s="679"/>
      <c r="H154" s="679"/>
      <c r="I154" s="679"/>
      <c r="J154" s="679"/>
      <c r="K154" s="679"/>
      <c r="L154" s="679"/>
      <c r="M154" s="679"/>
    </row>
    <row r="155" spans="1:13" ht="12.75">
      <c r="A155" s="678"/>
      <c r="B155" s="679"/>
      <c r="C155" s="679"/>
      <c r="D155" s="679"/>
      <c r="E155" s="679"/>
      <c r="F155" s="679"/>
      <c r="G155" s="679"/>
      <c r="H155" s="679"/>
      <c r="I155" s="679"/>
      <c r="J155" s="679"/>
      <c r="K155" s="679"/>
      <c r="L155" s="679"/>
      <c r="M155" s="679"/>
    </row>
    <row r="156" spans="1:13" ht="12.75">
      <c r="A156" s="678"/>
      <c r="B156" s="679"/>
      <c r="C156" s="679"/>
      <c r="D156" s="679"/>
      <c r="E156" s="679"/>
      <c r="F156" s="679"/>
      <c r="G156" s="679"/>
      <c r="H156" s="679"/>
      <c r="I156" s="679"/>
      <c r="J156" s="679"/>
      <c r="K156" s="679"/>
      <c r="L156" s="679"/>
      <c r="M156" s="679"/>
    </row>
    <row r="157" spans="1:13" ht="12.75">
      <c r="A157" s="678"/>
      <c r="B157" s="679"/>
      <c r="C157" s="679"/>
      <c r="D157" s="679"/>
      <c r="E157" s="679"/>
      <c r="F157" s="679"/>
      <c r="G157" s="679"/>
      <c r="H157" s="679"/>
      <c r="I157" s="679"/>
      <c r="J157" s="679"/>
      <c r="K157" s="679"/>
      <c r="L157" s="679"/>
      <c r="M157" s="679"/>
    </row>
    <row r="158" spans="1:13" ht="12.75">
      <c r="A158" s="678"/>
      <c r="B158" s="679"/>
      <c r="C158" s="679"/>
      <c r="D158" s="679"/>
      <c r="E158" s="679"/>
      <c r="F158" s="679"/>
      <c r="G158" s="679"/>
      <c r="H158" s="679"/>
      <c r="I158" s="679"/>
      <c r="J158" s="679"/>
      <c r="K158" s="679"/>
      <c r="L158" s="679"/>
      <c r="M158" s="679"/>
    </row>
    <row r="159" spans="1:13" ht="12.75">
      <c r="A159" s="678"/>
      <c r="B159" s="679"/>
      <c r="C159" s="679"/>
      <c r="D159" s="679"/>
      <c r="E159" s="679"/>
      <c r="F159" s="679"/>
      <c r="G159" s="679"/>
      <c r="H159" s="679"/>
      <c r="I159" s="679"/>
      <c r="J159" s="679"/>
      <c r="K159" s="679"/>
      <c r="L159" s="679"/>
      <c r="M159" s="679"/>
    </row>
    <row r="160" spans="1:13" ht="12.75">
      <c r="A160" s="678"/>
      <c r="B160" s="679"/>
      <c r="C160" s="679"/>
      <c r="D160" s="679"/>
      <c r="E160" s="679"/>
      <c r="F160" s="679"/>
      <c r="G160" s="679"/>
      <c r="H160" s="679"/>
      <c r="I160" s="679"/>
      <c r="J160" s="679"/>
      <c r="K160" s="679"/>
      <c r="L160" s="679"/>
      <c r="M160" s="679"/>
    </row>
    <row r="161" spans="1:13" ht="12.75">
      <c r="A161" s="678"/>
      <c r="B161" s="679"/>
      <c r="C161" s="679"/>
      <c r="D161" s="679"/>
      <c r="E161" s="679"/>
      <c r="F161" s="679"/>
      <c r="G161" s="679"/>
      <c r="H161" s="679"/>
      <c r="I161" s="679"/>
      <c r="J161" s="679"/>
      <c r="K161" s="679"/>
      <c r="L161" s="679"/>
      <c r="M161" s="679"/>
    </row>
    <row r="162" spans="1:13" ht="12.75">
      <c r="A162" s="678"/>
      <c r="B162" s="679"/>
      <c r="C162" s="679"/>
      <c r="D162" s="679"/>
      <c r="E162" s="679"/>
      <c r="F162" s="679"/>
      <c r="G162" s="679"/>
      <c r="H162" s="679"/>
      <c r="I162" s="679"/>
      <c r="J162" s="679"/>
      <c r="K162" s="679"/>
      <c r="L162" s="679"/>
      <c r="M162" s="679"/>
    </row>
    <row r="163" spans="1:13" ht="12.75">
      <c r="A163" s="678"/>
      <c r="B163" s="679"/>
      <c r="C163" s="679"/>
      <c r="D163" s="679"/>
      <c r="E163" s="679"/>
      <c r="F163" s="679"/>
      <c r="G163" s="679"/>
      <c r="H163" s="679"/>
      <c r="I163" s="679"/>
      <c r="J163" s="679"/>
      <c r="K163" s="679"/>
      <c r="L163" s="679"/>
      <c r="M163" s="679"/>
    </row>
    <row r="164" spans="1:13" ht="12.75">
      <c r="A164" s="678"/>
      <c r="B164" s="679"/>
      <c r="C164" s="679"/>
      <c r="D164" s="679"/>
      <c r="E164" s="679"/>
      <c r="F164" s="679"/>
      <c r="G164" s="679"/>
      <c r="H164" s="679"/>
      <c r="I164" s="679"/>
      <c r="J164" s="679"/>
      <c r="K164" s="679"/>
      <c r="L164" s="679"/>
      <c r="M164" s="679"/>
    </row>
    <row r="165" spans="1:13" ht="12.75">
      <c r="A165" s="678"/>
      <c r="B165" s="679"/>
      <c r="C165" s="679"/>
      <c r="D165" s="679"/>
      <c r="E165" s="679"/>
      <c r="F165" s="679"/>
      <c r="G165" s="679"/>
      <c r="H165" s="679"/>
      <c r="I165" s="679"/>
      <c r="J165" s="679"/>
      <c r="K165" s="679"/>
      <c r="L165" s="679"/>
      <c r="M165" s="679"/>
    </row>
    <row r="166" spans="1:13" ht="12.75">
      <c r="A166" s="678"/>
      <c r="B166" s="679"/>
      <c r="C166" s="679"/>
      <c r="D166" s="679"/>
      <c r="E166" s="679"/>
      <c r="F166" s="679"/>
      <c r="G166" s="679"/>
      <c r="H166" s="679"/>
      <c r="I166" s="679"/>
      <c r="J166" s="679"/>
      <c r="K166" s="679"/>
      <c r="L166" s="679"/>
      <c r="M166" s="679"/>
    </row>
    <row r="167" spans="1:13" ht="12.75">
      <c r="A167" s="678"/>
      <c r="B167" s="679"/>
      <c r="C167" s="679"/>
      <c r="D167" s="679"/>
      <c r="E167" s="679"/>
      <c r="F167" s="679"/>
      <c r="G167" s="679"/>
      <c r="H167" s="679"/>
      <c r="I167" s="679"/>
      <c r="J167" s="679"/>
      <c r="K167" s="679"/>
      <c r="L167" s="679"/>
      <c r="M167" s="679"/>
    </row>
    <row r="168" spans="1:13" ht="12.75">
      <c r="A168" s="678"/>
      <c r="B168" s="679"/>
      <c r="C168" s="679"/>
      <c r="D168" s="679"/>
      <c r="E168" s="679"/>
      <c r="F168" s="679"/>
      <c r="G168" s="679"/>
      <c r="H168" s="679"/>
      <c r="I168" s="679"/>
      <c r="J168" s="679"/>
      <c r="K168" s="679"/>
      <c r="L168" s="679"/>
      <c r="M168" s="679"/>
    </row>
    <row r="169" spans="1:13" ht="12.75">
      <c r="A169" s="678"/>
      <c r="B169" s="679"/>
      <c r="C169" s="679"/>
      <c r="D169" s="679"/>
      <c r="E169" s="679"/>
      <c r="F169" s="679"/>
      <c r="G169" s="679"/>
      <c r="H169" s="679"/>
      <c r="I169" s="679"/>
      <c r="J169" s="679"/>
      <c r="K169" s="679"/>
      <c r="L169" s="679"/>
      <c r="M169" s="679"/>
    </row>
    <row r="170" spans="1:13" ht="12.75">
      <c r="A170" s="678"/>
      <c r="B170" s="679"/>
      <c r="C170" s="679"/>
      <c r="D170" s="679"/>
      <c r="E170" s="679"/>
      <c r="F170" s="679"/>
      <c r="G170" s="679"/>
      <c r="H170" s="679"/>
      <c r="I170" s="679"/>
      <c r="J170" s="679"/>
      <c r="K170" s="679"/>
      <c r="L170" s="679"/>
      <c r="M170" s="679"/>
    </row>
    <row r="171" spans="1:13" ht="12.75">
      <c r="A171" s="678"/>
      <c r="B171" s="679"/>
      <c r="C171" s="679"/>
      <c r="D171" s="679"/>
      <c r="E171" s="679"/>
      <c r="F171" s="679"/>
      <c r="G171" s="679"/>
      <c r="H171" s="679"/>
      <c r="I171" s="679"/>
      <c r="J171" s="679"/>
      <c r="K171" s="679"/>
      <c r="L171" s="679"/>
      <c r="M171" s="679"/>
    </row>
    <row r="172" spans="1:13" ht="12.75">
      <c r="A172" s="678"/>
      <c r="B172" s="679"/>
      <c r="C172" s="679"/>
      <c r="D172" s="679"/>
      <c r="E172" s="679"/>
      <c r="F172" s="679"/>
      <c r="G172" s="679"/>
      <c r="H172" s="679"/>
      <c r="I172" s="679"/>
      <c r="J172" s="679"/>
      <c r="K172" s="679"/>
      <c r="L172" s="679"/>
      <c r="M172" s="679"/>
    </row>
    <row r="173" spans="1:13" ht="12.75">
      <c r="A173" s="678"/>
      <c r="B173" s="679"/>
      <c r="C173" s="679"/>
      <c r="D173" s="679"/>
      <c r="E173" s="679"/>
      <c r="F173" s="679"/>
      <c r="G173" s="679"/>
      <c r="H173" s="679"/>
      <c r="I173" s="679"/>
      <c r="J173" s="679"/>
      <c r="K173" s="679"/>
      <c r="L173" s="679"/>
      <c r="M173" s="679"/>
    </row>
    <row r="174" spans="1:13" ht="12.75">
      <c r="A174" s="678"/>
      <c r="B174" s="679"/>
      <c r="C174" s="679"/>
      <c r="D174" s="679"/>
      <c r="E174" s="679"/>
      <c r="F174" s="679"/>
      <c r="G174" s="679"/>
      <c r="H174" s="679"/>
      <c r="I174" s="679"/>
      <c r="J174" s="679"/>
      <c r="K174" s="679"/>
      <c r="L174" s="679"/>
      <c r="M174" s="679"/>
    </row>
    <row r="175" spans="1:13" ht="12.75">
      <c r="A175" s="678"/>
      <c r="B175" s="679"/>
      <c r="C175" s="679"/>
      <c r="D175" s="679"/>
      <c r="E175" s="679"/>
      <c r="F175" s="679"/>
      <c r="G175" s="679"/>
      <c r="H175" s="679"/>
      <c r="I175" s="679"/>
      <c r="J175" s="679"/>
      <c r="K175" s="679"/>
      <c r="L175" s="679"/>
      <c r="M175" s="679"/>
    </row>
    <row r="176" spans="1:13" ht="12.75">
      <c r="A176" s="678"/>
      <c r="B176" s="679"/>
      <c r="C176" s="679"/>
      <c r="D176" s="679"/>
      <c r="E176" s="679"/>
      <c r="F176" s="679"/>
      <c r="G176" s="679"/>
      <c r="H176" s="679"/>
      <c r="I176" s="679"/>
      <c r="J176" s="679"/>
      <c r="K176" s="679"/>
      <c r="L176" s="679"/>
      <c r="M176" s="679"/>
    </row>
    <row r="177" spans="1:13" ht="12.75">
      <c r="A177" s="678"/>
      <c r="B177" s="679"/>
      <c r="C177" s="679"/>
      <c r="D177" s="679"/>
      <c r="E177" s="679"/>
      <c r="F177" s="679"/>
      <c r="G177" s="679"/>
      <c r="H177" s="679"/>
      <c r="I177" s="679"/>
      <c r="J177" s="679"/>
      <c r="K177" s="679"/>
      <c r="L177" s="679"/>
      <c r="M177" s="679"/>
    </row>
    <row r="178" spans="1:13" ht="12.75">
      <c r="A178" s="678"/>
      <c r="B178" s="679"/>
      <c r="C178" s="679"/>
      <c r="D178" s="679"/>
      <c r="E178" s="679"/>
      <c r="F178" s="679"/>
      <c r="G178" s="679"/>
      <c r="H178" s="679"/>
      <c r="I178" s="679"/>
      <c r="J178" s="679"/>
      <c r="K178" s="679"/>
      <c r="L178" s="679"/>
      <c r="M178" s="679"/>
    </row>
    <row r="179" spans="1:13" ht="12.75">
      <c r="A179" s="678"/>
      <c r="B179" s="679"/>
      <c r="C179" s="679"/>
      <c r="D179" s="679"/>
      <c r="E179" s="679"/>
      <c r="F179" s="679"/>
      <c r="G179" s="679"/>
      <c r="H179" s="679"/>
      <c r="I179" s="679"/>
      <c r="J179" s="679"/>
      <c r="K179" s="679"/>
      <c r="L179" s="679"/>
      <c r="M179" s="679"/>
    </row>
    <row r="180" spans="1:13" ht="12.75">
      <c r="A180" s="678"/>
      <c r="B180" s="679"/>
      <c r="C180" s="679"/>
      <c r="D180" s="679"/>
      <c r="E180" s="679"/>
      <c r="F180" s="679"/>
      <c r="G180" s="679"/>
      <c r="H180" s="679"/>
      <c r="I180" s="679"/>
      <c r="J180" s="679"/>
      <c r="K180" s="679"/>
      <c r="L180" s="679"/>
      <c r="M180" s="679"/>
    </row>
    <row r="181" spans="1:13" ht="12.75">
      <c r="A181" s="678"/>
      <c r="B181" s="679"/>
      <c r="C181" s="679"/>
      <c r="D181" s="679"/>
      <c r="E181" s="679"/>
      <c r="F181" s="679"/>
      <c r="G181" s="679"/>
      <c r="H181" s="679"/>
      <c r="I181" s="679"/>
      <c r="J181" s="679"/>
      <c r="K181" s="679"/>
      <c r="L181" s="679"/>
      <c r="M181" s="679"/>
    </row>
    <row r="182" spans="1:13" ht="12.75">
      <c r="A182" s="678"/>
      <c r="B182" s="679"/>
      <c r="C182" s="679"/>
      <c r="D182" s="679"/>
      <c r="E182" s="679"/>
      <c r="F182" s="679"/>
      <c r="G182" s="679"/>
      <c r="H182" s="679"/>
      <c r="I182" s="679"/>
      <c r="J182" s="679"/>
      <c r="K182" s="679"/>
      <c r="L182" s="679"/>
      <c r="M182" s="679"/>
    </row>
    <row r="183" spans="1:13" ht="12.75">
      <c r="A183" s="678"/>
      <c r="B183" s="679"/>
      <c r="C183" s="679"/>
      <c r="D183" s="679"/>
      <c r="E183" s="679"/>
      <c r="F183" s="679"/>
      <c r="G183" s="679"/>
      <c r="H183" s="679"/>
      <c r="I183" s="679"/>
      <c r="J183" s="679"/>
      <c r="K183" s="679"/>
      <c r="L183" s="679"/>
      <c r="M183" s="679"/>
    </row>
    <row r="184" spans="1:13" ht="12.75">
      <c r="A184" s="678"/>
      <c r="B184" s="679"/>
      <c r="C184" s="679"/>
      <c r="D184" s="679"/>
      <c r="E184" s="679"/>
      <c r="F184" s="679"/>
      <c r="G184" s="679"/>
      <c r="H184" s="679"/>
      <c r="I184" s="679"/>
      <c r="J184" s="679"/>
      <c r="K184" s="679"/>
      <c r="L184" s="679"/>
      <c r="M184" s="679"/>
    </row>
    <row r="185" spans="1:13" ht="12.75">
      <c r="A185" s="678"/>
      <c r="B185" s="679"/>
      <c r="C185" s="679"/>
      <c r="D185" s="679"/>
      <c r="E185" s="679"/>
      <c r="F185" s="679"/>
      <c r="G185" s="679"/>
      <c r="H185" s="679"/>
      <c r="I185" s="679"/>
      <c r="J185" s="679"/>
      <c r="K185" s="679"/>
      <c r="L185" s="679"/>
      <c r="M185" s="679"/>
    </row>
    <row r="186" spans="1:28" ht="12.75">
      <c r="A186" s="678"/>
      <c r="B186" s="679"/>
      <c r="C186" s="679"/>
      <c r="D186" s="679"/>
      <c r="E186" s="679"/>
      <c r="F186" s="679"/>
      <c r="G186" s="679"/>
      <c r="H186" s="679"/>
      <c r="I186" s="679"/>
      <c r="J186" s="679"/>
      <c r="K186" s="679"/>
      <c r="L186" s="679"/>
      <c r="M186" s="679"/>
      <c r="AB186" s="6"/>
    </row>
    <row r="187" spans="1:13" ht="12.75">
      <c r="A187" s="678"/>
      <c r="B187" s="679"/>
      <c r="C187" s="679"/>
      <c r="D187" s="679"/>
      <c r="E187" s="679"/>
      <c r="F187" s="679"/>
      <c r="G187" s="679"/>
      <c r="H187" s="679"/>
      <c r="I187" s="679"/>
      <c r="J187" s="679"/>
      <c r="K187" s="679"/>
      <c r="L187" s="679"/>
      <c r="M187" s="679"/>
    </row>
    <row r="188" spans="1:13" ht="12.75">
      <c r="A188" s="678"/>
      <c r="B188" s="679"/>
      <c r="C188" s="679"/>
      <c r="D188" s="679"/>
      <c r="E188" s="679"/>
      <c r="F188" s="679"/>
      <c r="G188" s="679"/>
      <c r="H188" s="679"/>
      <c r="I188" s="679"/>
      <c r="J188" s="679"/>
      <c r="K188" s="679"/>
      <c r="L188" s="679"/>
      <c r="M188" s="679"/>
    </row>
    <row r="189" spans="1:13" ht="12.75">
      <c r="A189" s="678"/>
      <c r="B189" s="679"/>
      <c r="C189" s="679"/>
      <c r="D189" s="679"/>
      <c r="E189" s="679"/>
      <c r="F189" s="679"/>
      <c r="G189" s="679"/>
      <c r="H189" s="679"/>
      <c r="I189" s="679"/>
      <c r="J189" s="679"/>
      <c r="K189" s="679"/>
      <c r="L189" s="679"/>
      <c r="M189" s="679"/>
    </row>
    <row r="190" spans="1:13" ht="12.75">
      <c r="A190" s="678"/>
      <c r="B190" s="679"/>
      <c r="C190" s="679"/>
      <c r="D190" s="679"/>
      <c r="E190" s="679"/>
      <c r="F190" s="679"/>
      <c r="G190" s="679"/>
      <c r="H190" s="679"/>
      <c r="I190" s="679"/>
      <c r="J190" s="679"/>
      <c r="K190" s="679"/>
      <c r="L190" s="679"/>
      <c r="M190" s="679"/>
    </row>
    <row r="191" spans="1:13" ht="12.75">
      <c r="A191" s="678"/>
      <c r="B191" s="679"/>
      <c r="C191" s="679"/>
      <c r="D191" s="679"/>
      <c r="E191" s="679"/>
      <c r="F191" s="679"/>
      <c r="G191" s="679"/>
      <c r="H191" s="679"/>
      <c r="I191" s="679"/>
      <c r="J191" s="679"/>
      <c r="K191" s="679"/>
      <c r="L191" s="679"/>
      <c r="M191" s="679"/>
    </row>
    <row r="192" spans="1:13" ht="12.75">
      <c r="A192" s="678"/>
      <c r="B192" s="679"/>
      <c r="C192" s="679"/>
      <c r="D192" s="679"/>
      <c r="E192" s="679"/>
      <c r="F192" s="679"/>
      <c r="G192" s="679"/>
      <c r="H192" s="679"/>
      <c r="I192" s="679"/>
      <c r="J192" s="679"/>
      <c r="K192" s="679"/>
      <c r="L192" s="679"/>
      <c r="M192" s="679"/>
    </row>
    <row r="193" spans="1:13" ht="12.75">
      <c r="A193" s="678"/>
      <c r="B193" s="679"/>
      <c r="C193" s="679"/>
      <c r="D193" s="679"/>
      <c r="E193" s="679"/>
      <c r="F193" s="679"/>
      <c r="G193" s="679"/>
      <c r="H193" s="679"/>
      <c r="I193" s="679"/>
      <c r="J193" s="679"/>
      <c r="K193" s="679"/>
      <c r="L193" s="679"/>
      <c r="M193" s="679"/>
    </row>
    <row r="194" spans="1:13" ht="12.75">
      <c r="A194" s="678"/>
      <c r="B194" s="679"/>
      <c r="C194" s="679"/>
      <c r="D194" s="679"/>
      <c r="E194" s="679"/>
      <c r="F194" s="679"/>
      <c r="G194" s="679"/>
      <c r="H194" s="679"/>
      <c r="I194" s="679"/>
      <c r="J194" s="679"/>
      <c r="K194" s="679"/>
      <c r="L194" s="679"/>
      <c r="M194" s="679"/>
    </row>
    <row r="195" spans="1:13" ht="12.75">
      <c r="A195" s="678"/>
      <c r="B195" s="679"/>
      <c r="C195" s="679"/>
      <c r="D195" s="679"/>
      <c r="E195" s="679"/>
      <c r="F195" s="679"/>
      <c r="G195" s="679"/>
      <c r="H195" s="679"/>
      <c r="I195" s="679"/>
      <c r="J195" s="679"/>
      <c r="K195" s="679"/>
      <c r="L195" s="679"/>
      <c r="M195" s="679"/>
    </row>
    <row r="196" spans="1:28" ht="12.75">
      <c r="A196" s="678"/>
      <c r="B196" s="679"/>
      <c r="C196" s="679"/>
      <c r="D196" s="679"/>
      <c r="E196" s="679"/>
      <c r="F196" s="679"/>
      <c r="G196" s="679"/>
      <c r="H196" s="679"/>
      <c r="I196" s="679"/>
      <c r="J196" s="679"/>
      <c r="K196" s="679"/>
      <c r="L196" s="679"/>
      <c r="M196" s="679"/>
      <c r="AB196" s="6"/>
    </row>
    <row r="197" spans="1:13" ht="12.75">
      <c r="A197" s="678"/>
      <c r="B197" s="679"/>
      <c r="C197" s="679"/>
      <c r="D197" s="679"/>
      <c r="E197" s="679"/>
      <c r="F197" s="679"/>
      <c r="G197" s="679"/>
      <c r="H197" s="679"/>
      <c r="I197" s="679"/>
      <c r="J197" s="679"/>
      <c r="K197" s="679"/>
      <c r="L197" s="679"/>
      <c r="M197" s="679"/>
    </row>
    <row r="198" spans="1:13" ht="12.75">
      <c r="A198" s="678"/>
      <c r="B198" s="679"/>
      <c r="C198" s="679"/>
      <c r="D198" s="679"/>
      <c r="E198" s="679"/>
      <c r="F198" s="679"/>
      <c r="G198" s="679"/>
      <c r="H198" s="679"/>
      <c r="I198" s="679"/>
      <c r="J198" s="679"/>
      <c r="K198" s="679"/>
      <c r="L198" s="679"/>
      <c r="M198" s="679"/>
    </row>
    <row r="199" spans="1:13" ht="12.75">
      <c r="A199" s="678"/>
      <c r="B199" s="679"/>
      <c r="C199" s="679"/>
      <c r="D199" s="679"/>
      <c r="E199" s="679"/>
      <c r="F199" s="679"/>
      <c r="G199" s="679"/>
      <c r="H199" s="679"/>
      <c r="I199" s="679"/>
      <c r="J199" s="679"/>
      <c r="K199" s="679"/>
      <c r="L199" s="679"/>
      <c r="M199" s="679"/>
    </row>
    <row r="200" spans="1:13" ht="12.75">
      <c r="A200" s="678"/>
      <c r="B200" s="679"/>
      <c r="C200" s="679"/>
      <c r="D200" s="679"/>
      <c r="E200" s="679"/>
      <c r="F200" s="679"/>
      <c r="G200" s="679"/>
      <c r="H200" s="679"/>
      <c r="I200" s="679"/>
      <c r="J200" s="679"/>
      <c r="K200" s="679"/>
      <c r="L200" s="679"/>
      <c r="M200" s="679"/>
    </row>
    <row r="201" spans="1:13" ht="12.75">
      <c r="A201" s="678"/>
      <c r="B201" s="679"/>
      <c r="C201" s="679"/>
      <c r="D201" s="679"/>
      <c r="E201" s="679"/>
      <c r="F201" s="679"/>
      <c r="G201" s="679"/>
      <c r="H201" s="679"/>
      <c r="I201" s="679"/>
      <c r="J201" s="679"/>
      <c r="K201" s="679"/>
      <c r="L201" s="679"/>
      <c r="M201" s="679"/>
    </row>
    <row r="202" spans="1:13" ht="12.75">
      <c r="A202" s="678"/>
      <c r="B202" s="679"/>
      <c r="C202" s="679"/>
      <c r="D202" s="679"/>
      <c r="E202" s="679"/>
      <c r="F202" s="679"/>
      <c r="G202" s="679"/>
      <c r="H202" s="679"/>
      <c r="I202" s="679"/>
      <c r="J202" s="679"/>
      <c r="K202" s="679"/>
      <c r="L202" s="679"/>
      <c r="M202" s="679"/>
    </row>
    <row r="203" spans="1:13" ht="12.75">
      <c r="A203" s="678"/>
      <c r="B203" s="679"/>
      <c r="C203" s="679"/>
      <c r="D203" s="679"/>
      <c r="E203" s="679"/>
      <c r="F203" s="679"/>
      <c r="G203" s="679"/>
      <c r="H203" s="679"/>
      <c r="I203" s="679"/>
      <c r="J203" s="679"/>
      <c r="K203" s="679"/>
      <c r="L203" s="679"/>
      <c r="M203" s="679"/>
    </row>
    <row r="204" spans="1:13" ht="12.75">
      <c r="A204" s="678"/>
      <c r="B204" s="679"/>
      <c r="C204" s="679"/>
      <c r="D204" s="679"/>
      <c r="E204" s="679"/>
      <c r="F204" s="679"/>
      <c r="G204" s="679"/>
      <c r="H204" s="679"/>
      <c r="I204" s="679"/>
      <c r="J204" s="679"/>
      <c r="K204" s="679"/>
      <c r="L204" s="679"/>
      <c r="M204" s="679"/>
    </row>
    <row r="205" spans="1:13" ht="12.75">
      <c r="A205" s="678"/>
      <c r="B205" s="679"/>
      <c r="C205" s="679"/>
      <c r="D205" s="679"/>
      <c r="E205" s="679"/>
      <c r="F205" s="679"/>
      <c r="G205" s="679"/>
      <c r="H205" s="679"/>
      <c r="I205" s="679"/>
      <c r="J205" s="679"/>
      <c r="K205" s="679"/>
      <c r="L205" s="679"/>
      <c r="M205" s="679"/>
    </row>
    <row r="206" spans="1:13" ht="12.75">
      <c r="A206" s="678"/>
      <c r="B206" s="679"/>
      <c r="C206" s="679"/>
      <c r="D206" s="679"/>
      <c r="E206" s="679"/>
      <c r="F206" s="679"/>
      <c r="G206" s="679"/>
      <c r="H206" s="679"/>
      <c r="I206" s="679"/>
      <c r="J206" s="679"/>
      <c r="K206" s="679"/>
      <c r="L206" s="679"/>
      <c r="M206" s="679"/>
    </row>
    <row r="207" spans="1:13" ht="12.75">
      <c r="A207" s="678"/>
      <c r="B207" s="679"/>
      <c r="C207" s="679"/>
      <c r="D207" s="679"/>
      <c r="E207" s="679"/>
      <c r="F207" s="679"/>
      <c r="G207" s="679"/>
      <c r="H207" s="679"/>
      <c r="I207" s="679"/>
      <c r="J207" s="679"/>
      <c r="K207" s="679"/>
      <c r="L207" s="679"/>
      <c r="M207" s="679"/>
    </row>
    <row r="208" spans="1:13" ht="12.75">
      <c r="A208" s="678"/>
      <c r="B208" s="679"/>
      <c r="C208" s="679"/>
      <c r="D208" s="679"/>
      <c r="E208" s="679"/>
      <c r="F208" s="679"/>
      <c r="G208" s="679"/>
      <c r="H208" s="679"/>
      <c r="I208" s="679"/>
      <c r="J208" s="679"/>
      <c r="K208" s="679"/>
      <c r="L208" s="679"/>
      <c r="M208" s="679"/>
    </row>
    <row r="209" spans="1:13" ht="12.75">
      <c r="A209" s="678"/>
      <c r="B209" s="679"/>
      <c r="C209" s="679"/>
      <c r="D209" s="679"/>
      <c r="E209" s="679"/>
      <c r="F209" s="679"/>
      <c r="G209" s="679"/>
      <c r="H209" s="679"/>
      <c r="I209" s="679"/>
      <c r="J209" s="679"/>
      <c r="K209" s="679"/>
      <c r="L209" s="679"/>
      <c r="M209" s="679"/>
    </row>
    <row r="210" spans="1:13" ht="12.75">
      <c r="A210" s="678"/>
      <c r="B210" s="679"/>
      <c r="C210" s="679"/>
      <c r="D210" s="679"/>
      <c r="E210" s="679"/>
      <c r="F210" s="679"/>
      <c r="G210" s="679"/>
      <c r="H210" s="679"/>
      <c r="I210" s="679"/>
      <c r="J210" s="679"/>
      <c r="K210" s="679"/>
      <c r="L210" s="679"/>
      <c r="M210" s="679"/>
    </row>
    <row r="211" spans="1:13" ht="12.75">
      <c r="A211" s="678"/>
      <c r="B211" s="679"/>
      <c r="C211" s="679"/>
      <c r="D211" s="679"/>
      <c r="E211" s="679"/>
      <c r="F211" s="679"/>
      <c r="G211" s="679"/>
      <c r="H211" s="679"/>
      <c r="I211" s="679"/>
      <c r="J211" s="679"/>
      <c r="K211" s="679"/>
      <c r="L211" s="679"/>
      <c r="M211" s="679"/>
    </row>
    <row r="212" spans="1:28" ht="12.75">
      <c r="A212" s="678"/>
      <c r="B212" s="679"/>
      <c r="C212" s="679"/>
      <c r="D212" s="679"/>
      <c r="E212" s="679"/>
      <c r="F212" s="679"/>
      <c r="G212" s="679"/>
      <c r="H212" s="679"/>
      <c r="I212" s="679"/>
      <c r="J212" s="679"/>
      <c r="K212" s="679"/>
      <c r="L212" s="679"/>
      <c r="M212" s="679"/>
      <c r="AB212" s="6"/>
    </row>
    <row r="213" spans="1:13" ht="12.75">
      <c r="A213" s="678"/>
      <c r="B213" s="679"/>
      <c r="C213" s="679"/>
      <c r="D213" s="679"/>
      <c r="E213" s="679"/>
      <c r="F213" s="679"/>
      <c r="G213" s="679"/>
      <c r="H213" s="679"/>
      <c r="I213" s="679"/>
      <c r="J213" s="679"/>
      <c r="K213" s="679"/>
      <c r="L213" s="679"/>
      <c r="M213" s="679"/>
    </row>
    <row r="214" spans="1:13" ht="12.75">
      <c r="A214" s="678"/>
      <c r="B214" s="679"/>
      <c r="C214" s="679"/>
      <c r="D214" s="679"/>
      <c r="E214" s="679"/>
      <c r="F214" s="679"/>
      <c r="G214" s="679"/>
      <c r="H214" s="679"/>
      <c r="I214" s="679"/>
      <c r="J214" s="679"/>
      <c r="K214" s="679"/>
      <c r="L214" s="679"/>
      <c r="M214" s="679"/>
    </row>
    <row r="215" spans="1:13" ht="12.75">
      <c r="A215" s="678"/>
      <c r="B215" s="679"/>
      <c r="C215" s="679"/>
      <c r="D215" s="679"/>
      <c r="E215" s="679"/>
      <c r="F215" s="679"/>
      <c r="G215" s="679"/>
      <c r="H215" s="679"/>
      <c r="I215" s="679"/>
      <c r="J215" s="679"/>
      <c r="K215" s="679"/>
      <c r="L215" s="679"/>
      <c r="M215" s="679"/>
    </row>
    <row r="216" spans="1:13" ht="12.75">
      <c r="A216" s="678"/>
      <c r="B216" s="679"/>
      <c r="C216" s="679"/>
      <c r="D216" s="679"/>
      <c r="E216" s="679"/>
      <c r="F216" s="679"/>
      <c r="G216" s="679"/>
      <c r="H216" s="679"/>
      <c r="I216" s="679"/>
      <c r="J216" s="679"/>
      <c r="K216" s="679"/>
      <c r="L216" s="679"/>
      <c r="M216" s="679"/>
    </row>
    <row r="217" spans="1:13" ht="12.75">
      <c r="A217" s="678"/>
      <c r="B217" s="679"/>
      <c r="C217" s="679"/>
      <c r="D217" s="679"/>
      <c r="E217" s="679"/>
      <c r="F217" s="679"/>
      <c r="G217" s="679"/>
      <c r="H217" s="679"/>
      <c r="I217" s="679"/>
      <c r="J217" s="679"/>
      <c r="K217" s="679"/>
      <c r="L217" s="679"/>
      <c r="M217" s="679"/>
    </row>
    <row r="218" spans="1:13" ht="12.75">
      <c r="A218" s="678"/>
      <c r="B218" s="679"/>
      <c r="C218" s="679"/>
      <c r="D218" s="679"/>
      <c r="E218" s="679"/>
      <c r="F218" s="679"/>
      <c r="G218" s="679"/>
      <c r="H218" s="679"/>
      <c r="I218" s="679"/>
      <c r="J218" s="679"/>
      <c r="K218" s="679"/>
      <c r="L218" s="679"/>
      <c r="M218" s="679"/>
    </row>
    <row r="219" spans="1:13" ht="12.75">
      <c r="A219" s="678"/>
      <c r="B219" s="679"/>
      <c r="C219" s="679"/>
      <c r="D219" s="679"/>
      <c r="E219" s="679"/>
      <c r="F219" s="679"/>
      <c r="G219" s="679"/>
      <c r="H219" s="679"/>
      <c r="I219" s="679"/>
      <c r="J219" s="679"/>
      <c r="K219" s="679"/>
      <c r="L219" s="679"/>
      <c r="M219" s="679"/>
    </row>
    <row r="220" spans="1:13" ht="12.75">
      <c r="A220" s="678"/>
      <c r="B220" s="679"/>
      <c r="C220" s="679"/>
      <c r="D220" s="679"/>
      <c r="E220" s="679"/>
      <c r="F220" s="679"/>
      <c r="G220" s="679"/>
      <c r="H220" s="679"/>
      <c r="I220" s="679"/>
      <c r="J220" s="679"/>
      <c r="K220" s="679"/>
      <c r="L220" s="679"/>
      <c r="M220" s="679"/>
    </row>
    <row r="221" spans="1:13" ht="12.75">
      <c r="A221" s="678"/>
      <c r="B221" s="679"/>
      <c r="C221" s="679"/>
      <c r="D221" s="679"/>
      <c r="E221" s="679"/>
      <c r="F221" s="679"/>
      <c r="G221" s="679"/>
      <c r="H221" s="679"/>
      <c r="I221" s="679"/>
      <c r="J221" s="679"/>
      <c r="K221" s="679"/>
      <c r="L221" s="679"/>
      <c r="M221" s="679"/>
    </row>
    <row r="222" spans="1:13" ht="12.75">
      <c r="A222" s="678"/>
      <c r="B222" s="679"/>
      <c r="C222" s="679"/>
      <c r="D222" s="679"/>
      <c r="E222" s="679"/>
      <c r="F222" s="679"/>
      <c r="G222" s="679"/>
      <c r="H222" s="679"/>
      <c r="I222" s="679"/>
      <c r="J222" s="679"/>
      <c r="K222" s="679"/>
      <c r="L222" s="679"/>
      <c r="M222" s="679"/>
    </row>
    <row r="223" spans="1:13" ht="12.75">
      <c r="A223" s="678"/>
      <c r="B223" s="679"/>
      <c r="C223" s="679"/>
      <c r="D223" s="679"/>
      <c r="E223" s="679"/>
      <c r="F223" s="679"/>
      <c r="G223" s="679"/>
      <c r="H223" s="679"/>
      <c r="I223" s="679"/>
      <c r="J223" s="679"/>
      <c r="K223" s="679"/>
      <c r="L223" s="679"/>
      <c r="M223" s="679"/>
    </row>
    <row r="224" spans="1:13" ht="12.75">
      <c r="A224" s="678"/>
      <c r="B224" s="679"/>
      <c r="C224" s="679"/>
      <c r="D224" s="679"/>
      <c r="E224" s="679"/>
      <c r="F224" s="679"/>
      <c r="G224" s="679"/>
      <c r="H224" s="679"/>
      <c r="I224" s="679"/>
      <c r="J224" s="679"/>
      <c r="K224" s="679"/>
      <c r="L224" s="679"/>
      <c r="M224" s="679"/>
    </row>
    <row r="225" spans="1:13" ht="12.75">
      <c r="A225" s="678"/>
      <c r="B225" s="679"/>
      <c r="C225" s="679"/>
      <c r="D225" s="679"/>
      <c r="E225" s="679"/>
      <c r="F225" s="679"/>
      <c r="G225" s="679"/>
      <c r="H225" s="679"/>
      <c r="I225" s="679"/>
      <c r="J225" s="679"/>
      <c r="K225" s="679"/>
      <c r="L225" s="679"/>
      <c r="M225" s="679"/>
    </row>
    <row r="226" spans="1:13" ht="12.75">
      <c r="A226" s="678"/>
      <c r="B226" s="679"/>
      <c r="C226" s="679"/>
      <c r="D226" s="679"/>
      <c r="E226" s="679"/>
      <c r="F226" s="679"/>
      <c r="G226" s="679"/>
      <c r="H226" s="679"/>
      <c r="I226" s="679"/>
      <c r="J226" s="679"/>
      <c r="K226" s="679"/>
      <c r="L226" s="679"/>
      <c r="M226" s="679"/>
    </row>
    <row r="227" spans="1:13" ht="12.75">
      <c r="A227" s="678"/>
      <c r="B227" s="679"/>
      <c r="C227" s="679"/>
      <c r="D227" s="679"/>
      <c r="E227" s="679"/>
      <c r="F227" s="679"/>
      <c r="G227" s="679"/>
      <c r="H227" s="679"/>
      <c r="I227" s="679"/>
      <c r="J227" s="679"/>
      <c r="K227" s="679"/>
      <c r="L227" s="679"/>
      <c r="M227" s="679"/>
    </row>
    <row r="228" spans="1:32" ht="12.75">
      <c r="A228" s="678"/>
      <c r="B228" s="679"/>
      <c r="C228" s="679"/>
      <c r="D228" s="679"/>
      <c r="E228" s="679"/>
      <c r="F228" s="679"/>
      <c r="G228" s="679"/>
      <c r="H228" s="679"/>
      <c r="I228" s="679"/>
      <c r="J228" s="679"/>
      <c r="K228" s="679"/>
      <c r="L228" s="679"/>
      <c r="M228" s="679"/>
      <c r="AA228" s="6"/>
      <c r="AB228" s="6"/>
      <c r="AF228" s="6"/>
    </row>
    <row r="229" spans="1:13" ht="12.75">
      <c r="A229" s="678"/>
      <c r="B229" s="679"/>
      <c r="C229" s="679"/>
      <c r="D229" s="679"/>
      <c r="E229" s="679"/>
      <c r="F229" s="679"/>
      <c r="G229" s="679"/>
      <c r="H229" s="679"/>
      <c r="I229" s="679"/>
      <c r="J229" s="679"/>
      <c r="K229" s="679"/>
      <c r="L229" s="679"/>
      <c r="M229" s="679"/>
    </row>
    <row r="230" spans="1:13" ht="12.75">
      <c r="A230" s="678"/>
      <c r="B230" s="679"/>
      <c r="C230" s="679"/>
      <c r="D230" s="679"/>
      <c r="E230" s="679"/>
      <c r="F230" s="679"/>
      <c r="G230" s="679"/>
      <c r="H230" s="679"/>
      <c r="I230" s="679"/>
      <c r="J230" s="679"/>
      <c r="K230" s="679"/>
      <c r="L230" s="679"/>
      <c r="M230" s="679"/>
    </row>
    <row r="231" spans="1:13" ht="12.75">
      <c r="A231" s="678"/>
      <c r="B231" s="679"/>
      <c r="C231" s="679"/>
      <c r="D231" s="679"/>
      <c r="E231" s="679"/>
      <c r="F231" s="679"/>
      <c r="G231" s="679"/>
      <c r="H231" s="679"/>
      <c r="I231" s="679"/>
      <c r="J231" s="679"/>
      <c r="K231" s="679"/>
      <c r="L231" s="679"/>
      <c r="M231" s="679"/>
    </row>
    <row r="232" spans="1:13" ht="12.75">
      <c r="A232" s="678"/>
      <c r="B232" s="679"/>
      <c r="C232" s="679"/>
      <c r="D232" s="679"/>
      <c r="E232" s="679"/>
      <c r="F232" s="679"/>
      <c r="G232" s="679"/>
      <c r="H232" s="679"/>
      <c r="I232" s="679"/>
      <c r="J232" s="679"/>
      <c r="K232" s="679"/>
      <c r="L232" s="679"/>
      <c r="M232" s="679"/>
    </row>
    <row r="233" spans="1:13" ht="12.75">
      <c r="A233" s="678"/>
      <c r="B233" s="679"/>
      <c r="C233" s="679"/>
      <c r="D233" s="679"/>
      <c r="E233" s="679"/>
      <c r="F233" s="679"/>
      <c r="G233" s="679"/>
      <c r="H233" s="679"/>
      <c r="I233" s="679"/>
      <c r="J233" s="679"/>
      <c r="K233" s="679"/>
      <c r="L233" s="679"/>
      <c r="M233" s="679"/>
    </row>
    <row r="234" spans="1:13" ht="12.75">
      <c r="A234" s="678"/>
      <c r="B234" s="679"/>
      <c r="C234" s="679"/>
      <c r="D234" s="679"/>
      <c r="E234" s="679"/>
      <c r="F234" s="679"/>
      <c r="G234" s="679"/>
      <c r="H234" s="679"/>
      <c r="I234" s="679"/>
      <c r="J234" s="679"/>
      <c r="K234" s="679"/>
      <c r="L234" s="679"/>
      <c r="M234" s="679"/>
    </row>
    <row r="235" spans="1:13" ht="12.75">
      <c r="A235" s="678"/>
      <c r="B235" s="679"/>
      <c r="C235" s="679"/>
      <c r="D235" s="679"/>
      <c r="E235" s="679"/>
      <c r="F235" s="679"/>
      <c r="G235" s="679"/>
      <c r="H235" s="679"/>
      <c r="I235" s="679"/>
      <c r="J235" s="679"/>
      <c r="K235" s="679"/>
      <c r="L235" s="679"/>
      <c r="M235" s="679"/>
    </row>
    <row r="236" spans="1:13" ht="12.75">
      <c r="A236" s="678"/>
      <c r="B236" s="679"/>
      <c r="C236" s="679"/>
      <c r="D236" s="679"/>
      <c r="E236" s="679"/>
      <c r="F236" s="679"/>
      <c r="G236" s="679"/>
      <c r="H236" s="679"/>
      <c r="I236" s="679"/>
      <c r="J236" s="679"/>
      <c r="K236" s="679"/>
      <c r="L236" s="679"/>
      <c r="M236" s="679"/>
    </row>
    <row r="237" spans="1:13" ht="12.75">
      <c r="A237" s="678"/>
      <c r="B237" s="679"/>
      <c r="C237" s="679"/>
      <c r="D237" s="679"/>
      <c r="E237" s="679"/>
      <c r="F237" s="679"/>
      <c r="G237" s="679"/>
      <c r="H237" s="679"/>
      <c r="I237" s="679"/>
      <c r="J237" s="679"/>
      <c r="K237" s="679"/>
      <c r="L237" s="679"/>
      <c r="M237" s="679"/>
    </row>
    <row r="238" spans="1:13" ht="12.75">
      <c r="A238" s="678"/>
      <c r="B238" s="679"/>
      <c r="C238" s="679"/>
      <c r="D238" s="679"/>
      <c r="E238" s="679"/>
      <c r="F238" s="679"/>
      <c r="G238" s="679"/>
      <c r="H238" s="679"/>
      <c r="I238" s="679"/>
      <c r="J238" s="679"/>
      <c r="K238" s="679"/>
      <c r="L238" s="679"/>
      <c r="M238" s="679"/>
    </row>
    <row r="239" spans="1:13" ht="12.75">
      <c r="A239" s="678"/>
      <c r="B239" s="679"/>
      <c r="C239" s="679"/>
      <c r="D239" s="679"/>
      <c r="E239" s="679"/>
      <c r="F239" s="679"/>
      <c r="G239" s="679"/>
      <c r="H239" s="679"/>
      <c r="I239" s="679"/>
      <c r="J239" s="679"/>
      <c r="K239" s="679"/>
      <c r="L239" s="679"/>
      <c r="M239" s="679"/>
    </row>
    <row r="240" spans="1:13" ht="12.75">
      <c r="A240" s="678"/>
      <c r="B240" s="679"/>
      <c r="C240" s="679"/>
      <c r="D240" s="679"/>
      <c r="E240" s="679"/>
      <c r="F240" s="679"/>
      <c r="G240" s="679"/>
      <c r="H240" s="679"/>
      <c r="I240" s="679"/>
      <c r="J240" s="679"/>
      <c r="K240" s="679"/>
      <c r="L240" s="679"/>
      <c r="M240" s="679"/>
    </row>
    <row r="241" spans="1:13" ht="12.75">
      <c r="A241" s="678"/>
      <c r="B241" s="679"/>
      <c r="C241" s="679"/>
      <c r="D241" s="679"/>
      <c r="E241" s="679"/>
      <c r="F241" s="679"/>
      <c r="G241" s="679"/>
      <c r="H241" s="679"/>
      <c r="I241" s="679"/>
      <c r="J241" s="679"/>
      <c r="K241" s="679"/>
      <c r="L241" s="679"/>
      <c r="M241" s="679"/>
    </row>
    <row r="242" spans="1:13" ht="12.75">
      <c r="A242" s="678"/>
      <c r="B242" s="679"/>
      <c r="C242" s="679"/>
      <c r="D242" s="679"/>
      <c r="E242" s="679"/>
      <c r="F242" s="679"/>
      <c r="G242" s="679"/>
      <c r="H242" s="679"/>
      <c r="I242" s="679"/>
      <c r="J242" s="679"/>
      <c r="K242" s="679"/>
      <c r="L242" s="679"/>
      <c r="M242" s="679"/>
    </row>
    <row r="243" spans="1:13" ht="12.75">
      <c r="A243" s="678"/>
      <c r="B243" s="679"/>
      <c r="C243" s="679"/>
      <c r="D243" s="679"/>
      <c r="E243" s="679"/>
      <c r="F243" s="679"/>
      <c r="G243" s="679"/>
      <c r="H243" s="679"/>
      <c r="I243" s="679"/>
      <c r="J243" s="679"/>
      <c r="K243" s="679"/>
      <c r="L243" s="679"/>
      <c r="M243" s="679"/>
    </row>
    <row r="244" spans="1:13" ht="12.75">
      <c r="A244" s="678"/>
      <c r="B244" s="679"/>
      <c r="C244" s="679"/>
      <c r="D244" s="679"/>
      <c r="E244" s="679"/>
      <c r="F244" s="679"/>
      <c r="G244" s="679"/>
      <c r="H244" s="679"/>
      <c r="I244" s="679"/>
      <c r="J244" s="679"/>
      <c r="K244" s="679"/>
      <c r="L244" s="679"/>
      <c r="M244" s="679"/>
    </row>
    <row r="245" spans="1:13" ht="12.75">
      <c r="A245" s="678"/>
      <c r="B245" s="679"/>
      <c r="C245" s="679"/>
      <c r="D245" s="679"/>
      <c r="E245" s="679"/>
      <c r="F245" s="679"/>
      <c r="G245" s="679"/>
      <c r="H245" s="679"/>
      <c r="I245" s="679"/>
      <c r="J245" s="679"/>
      <c r="K245" s="679"/>
      <c r="L245" s="679"/>
      <c r="M245" s="679"/>
    </row>
    <row r="246" spans="1:13" ht="12.75">
      <c r="A246" s="678"/>
      <c r="B246" s="679"/>
      <c r="C246" s="679"/>
      <c r="D246" s="679"/>
      <c r="E246" s="679"/>
      <c r="F246" s="679"/>
      <c r="G246" s="679"/>
      <c r="H246" s="679"/>
      <c r="I246" s="679"/>
      <c r="J246" s="679"/>
      <c r="K246" s="679"/>
      <c r="L246" s="679"/>
      <c r="M246" s="679"/>
    </row>
    <row r="247" spans="1:13" ht="12.75">
      <c r="A247" s="678"/>
      <c r="B247" s="679"/>
      <c r="C247" s="679"/>
      <c r="D247" s="679"/>
      <c r="E247" s="679"/>
      <c r="F247" s="679"/>
      <c r="G247" s="679"/>
      <c r="H247" s="679"/>
      <c r="I247" s="679"/>
      <c r="J247" s="679"/>
      <c r="K247" s="679"/>
      <c r="L247" s="679"/>
      <c r="M247" s="679"/>
    </row>
    <row r="248" spans="1:13" ht="12.75">
      <c r="A248" s="678"/>
      <c r="B248" s="679"/>
      <c r="C248" s="679"/>
      <c r="D248" s="679"/>
      <c r="E248" s="679"/>
      <c r="F248" s="679"/>
      <c r="G248" s="679"/>
      <c r="H248" s="679"/>
      <c r="I248" s="679"/>
      <c r="J248" s="679"/>
      <c r="K248" s="679"/>
      <c r="L248" s="679"/>
      <c r="M248" s="679"/>
    </row>
    <row r="249" spans="1:13" ht="12.75">
      <c r="A249" s="678"/>
      <c r="B249" s="679"/>
      <c r="C249" s="679"/>
      <c r="D249" s="679"/>
      <c r="E249" s="679"/>
      <c r="F249" s="679"/>
      <c r="G249" s="679"/>
      <c r="H249" s="679"/>
      <c r="I249" s="679"/>
      <c r="J249" s="679"/>
      <c r="K249" s="679"/>
      <c r="L249" s="679"/>
      <c r="M249" s="679"/>
    </row>
    <row r="250" spans="1:13" ht="12.75">
      <c r="A250" s="678"/>
      <c r="B250" s="679"/>
      <c r="C250" s="679"/>
      <c r="D250" s="679"/>
      <c r="E250" s="679"/>
      <c r="F250" s="679"/>
      <c r="G250" s="679"/>
      <c r="H250" s="679"/>
      <c r="I250" s="679"/>
      <c r="J250" s="679"/>
      <c r="K250" s="679"/>
      <c r="L250" s="679"/>
      <c r="M250" s="679"/>
    </row>
    <row r="251" spans="1:13" ht="12.75">
      <c r="A251" s="678"/>
      <c r="B251" s="679"/>
      <c r="C251" s="679"/>
      <c r="D251" s="679"/>
      <c r="E251" s="679"/>
      <c r="F251" s="679"/>
      <c r="G251" s="679"/>
      <c r="H251" s="679"/>
      <c r="I251" s="679"/>
      <c r="J251" s="679"/>
      <c r="K251" s="679"/>
      <c r="L251" s="679"/>
      <c r="M251" s="679"/>
    </row>
    <row r="252" spans="1:13" ht="12.75">
      <c r="A252" s="678"/>
      <c r="B252" s="679"/>
      <c r="C252" s="679"/>
      <c r="D252" s="679"/>
      <c r="E252" s="679"/>
      <c r="F252" s="679"/>
      <c r="G252" s="679"/>
      <c r="H252" s="679"/>
      <c r="I252" s="679"/>
      <c r="J252" s="679"/>
      <c r="K252" s="679"/>
      <c r="L252" s="679"/>
      <c r="M252" s="679"/>
    </row>
    <row r="253" spans="1:13" ht="12.75">
      <c r="A253" s="678"/>
      <c r="B253" s="679"/>
      <c r="C253" s="679"/>
      <c r="D253" s="679"/>
      <c r="E253" s="679"/>
      <c r="F253" s="679"/>
      <c r="G253" s="679"/>
      <c r="H253" s="679"/>
      <c r="I253" s="679"/>
      <c r="J253" s="679"/>
      <c r="K253" s="679"/>
      <c r="L253" s="679"/>
      <c r="M253" s="679"/>
    </row>
    <row r="254" spans="1:13" ht="12.75">
      <c r="A254" s="678"/>
      <c r="B254" s="679"/>
      <c r="C254" s="679"/>
      <c r="D254" s="679"/>
      <c r="E254" s="679"/>
      <c r="F254" s="679"/>
      <c r="G254" s="679"/>
      <c r="H254" s="679"/>
      <c r="I254" s="679"/>
      <c r="J254" s="679"/>
      <c r="K254" s="679"/>
      <c r="L254" s="679"/>
      <c r="M254" s="679"/>
    </row>
    <row r="255" spans="1:13" ht="12.75">
      <c r="A255" s="678"/>
      <c r="B255" s="679"/>
      <c r="C255" s="679"/>
      <c r="D255" s="679"/>
      <c r="E255" s="679"/>
      <c r="F255" s="679"/>
      <c r="G255" s="679"/>
      <c r="H255" s="679"/>
      <c r="I255" s="679"/>
      <c r="J255" s="679"/>
      <c r="K255" s="679"/>
      <c r="L255" s="679"/>
      <c r="M255" s="679"/>
    </row>
    <row r="256" spans="1:13" ht="12.75">
      <c r="A256" s="678"/>
      <c r="B256" s="679"/>
      <c r="C256" s="679"/>
      <c r="D256" s="679"/>
      <c r="E256" s="679"/>
      <c r="F256" s="679"/>
      <c r="G256" s="679"/>
      <c r="H256" s="679"/>
      <c r="I256" s="679"/>
      <c r="J256" s="679"/>
      <c r="K256" s="679"/>
      <c r="L256" s="679"/>
      <c r="M256" s="679"/>
    </row>
    <row r="257" spans="1:13" ht="12.75">
      <c r="A257" s="678"/>
      <c r="B257" s="679"/>
      <c r="C257" s="679"/>
      <c r="D257" s="679"/>
      <c r="E257" s="679"/>
      <c r="F257" s="679"/>
      <c r="G257" s="679"/>
      <c r="H257" s="679"/>
      <c r="I257" s="679"/>
      <c r="J257" s="679"/>
      <c r="K257" s="679"/>
      <c r="L257" s="679"/>
      <c r="M257" s="679"/>
    </row>
    <row r="258" spans="1:13" ht="12.75">
      <c r="A258" s="678"/>
      <c r="B258" s="679"/>
      <c r="C258" s="679"/>
      <c r="D258" s="679"/>
      <c r="E258" s="679"/>
      <c r="F258" s="679"/>
      <c r="G258" s="679"/>
      <c r="H258" s="679"/>
      <c r="I258" s="679"/>
      <c r="J258" s="679"/>
      <c r="K258" s="679"/>
      <c r="L258" s="679"/>
      <c r="M258" s="679"/>
    </row>
    <row r="259" spans="1:13" ht="12.75">
      <c r="A259" s="678"/>
      <c r="B259" s="679"/>
      <c r="C259" s="679"/>
      <c r="D259" s="679"/>
      <c r="E259" s="679"/>
      <c r="F259" s="679"/>
      <c r="G259" s="679"/>
      <c r="H259" s="679"/>
      <c r="I259" s="679"/>
      <c r="J259" s="679"/>
      <c r="K259" s="679"/>
      <c r="L259" s="679"/>
      <c r="M259" s="679"/>
    </row>
    <row r="260" spans="1:13" ht="12.75">
      <c r="A260" s="678"/>
      <c r="B260" s="679"/>
      <c r="C260" s="679"/>
      <c r="D260" s="679"/>
      <c r="E260" s="679"/>
      <c r="F260" s="679"/>
      <c r="G260" s="679"/>
      <c r="H260" s="679"/>
      <c r="I260" s="679"/>
      <c r="J260" s="679"/>
      <c r="K260" s="679"/>
      <c r="L260" s="679"/>
      <c r="M260" s="679"/>
    </row>
    <row r="261" spans="1:13" ht="12.75">
      <c r="A261" s="678"/>
      <c r="B261" s="679"/>
      <c r="C261" s="679"/>
      <c r="D261" s="679"/>
      <c r="E261" s="679"/>
      <c r="F261" s="679"/>
      <c r="G261" s="679"/>
      <c r="H261" s="679"/>
      <c r="I261" s="679"/>
      <c r="J261" s="679"/>
      <c r="K261" s="679"/>
      <c r="L261" s="679"/>
      <c r="M261" s="679"/>
    </row>
    <row r="262" spans="1:13" ht="12.75">
      <c r="A262" s="678"/>
      <c r="B262" s="679"/>
      <c r="C262" s="679"/>
      <c r="D262" s="679"/>
      <c r="E262" s="679"/>
      <c r="F262" s="679"/>
      <c r="G262" s="679"/>
      <c r="H262" s="679"/>
      <c r="I262" s="679"/>
      <c r="J262" s="679"/>
      <c r="K262" s="679"/>
      <c r="L262" s="679"/>
      <c r="M262" s="679"/>
    </row>
    <row r="263" spans="1:13" ht="12.75">
      <c r="A263" s="678"/>
      <c r="B263" s="679"/>
      <c r="C263" s="679"/>
      <c r="D263" s="679"/>
      <c r="E263" s="679"/>
      <c r="F263" s="679"/>
      <c r="G263" s="679"/>
      <c r="H263" s="679"/>
      <c r="I263" s="679"/>
      <c r="J263" s="679"/>
      <c r="K263" s="679"/>
      <c r="L263" s="679"/>
      <c r="M263" s="679"/>
    </row>
    <row r="264" spans="1:13" ht="12.75">
      <c r="A264" s="678"/>
      <c r="B264" s="679"/>
      <c r="C264" s="679"/>
      <c r="D264" s="679"/>
      <c r="E264" s="679"/>
      <c r="F264" s="679"/>
      <c r="G264" s="679"/>
      <c r="H264" s="679"/>
      <c r="I264" s="679"/>
      <c r="J264" s="679"/>
      <c r="K264" s="679"/>
      <c r="L264" s="679"/>
      <c r="M264" s="679"/>
    </row>
    <row r="265" spans="1:13" ht="12.75">
      <c r="A265" s="678"/>
      <c r="B265" s="679"/>
      <c r="C265" s="679"/>
      <c r="D265" s="679"/>
      <c r="E265" s="679"/>
      <c r="F265" s="679"/>
      <c r="G265" s="679"/>
      <c r="H265" s="679"/>
      <c r="I265" s="679"/>
      <c r="J265" s="679"/>
      <c r="K265" s="679"/>
      <c r="L265" s="679"/>
      <c r="M265" s="679"/>
    </row>
    <row r="266" spans="1:13" ht="12.75">
      <c r="A266" s="678"/>
      <c r="B266" s="679"/>
      <c r="C266" s="679"/>
      <c r="D266" s="679"/>
      <c r="E266" s="679"/>
      <c r="F266" s="679"/>
      <c r="G266" s="679"/>
      <c r="H266" s="679"/>
      <c r="I266" s="679"/>
      <c r="J266" s="679"/>
      <c r="K266" s="679"/>
      <c r="L266" s="679"/>
      <c r="M266" s="679"/>
    </row>
    <row r="267" spans="1:13" ht="12.75">
      <c r="A267" s="678"/>
      <c r="B267" s="679"/>
      <c r="C267" s="679"/>
      <c r="D267" s="679"/>
      <c r="E267" s="679"/>
      <c r="F267" s="679"/>
      <c r="G267" s="679"/>
      <c r="H267" s="679"/>
      <c r="I267" s="679"/>
      <c r="J267" s="679"/>
      <c r="K267" s="679"/>
      <c r="L267" s="679"/>
      <c r="M267" s="679"/>
    </row>
    <row r="268" spans="1:13" ht="12.75">
      <c r="A268" s="678"/>
      <c r="B268" s="679"/>
      <c r="C268" s="679"/>
      <c r="D268" s="679"/>
      <c r="E268" s="679"/>
      <c r="F268" s="679"/>
      <c r="G268" s="679"/>
      <c r="H268" s="679"/>
      <c r="I268" s="679"/>
      <c r="J268" s="679"/>
      <c r="K268" s="679"/>
      <c r="L268" s="679"/>
      <c r="M268" s="679"/>
    </row>
    <row r="269" spans="1:13" ht="12.75">
      <c r="A269" s="678"/>
      <c r="B269" s="679"/>
      <c r="C269" s="679"/>
      <c r="D269" s="679"/>
      <c r="E269" s="679"/>
      <c r="F269" s="679"/>
      <c r="G269" s="679"/>
      <c r="H269" s="679"/>
      <c r="I269" s="679"/>
      <c r="J269" s="679"/>
      <c r="K269" s="679"/>
      <c r="L269" s="679"/>
      <c r="M269" s="679"/>
    </row>
    <row r="270" spans="1:13" ht="12.75">
      <c r="A270" s="678"/>
      <c r="B270" s="679"/>
      <c r="C270" s="679"/>
      <c r="D270" s="679"/>
      <c r="E270" s="679"/>
      <c r="F270" s="679"/>
      <c r="G270" s="679"/>
      <c r="H270" s="679"/>
      <c r="I270" s="679"/>
      <c r="J270" s="679"/>
      <c r="K270" s="679"/>
      <c r="L270" s="679"/>
      <c r="M270" s="679"/>
    </row>
    <row r="271" spans="1:13" ht="12.75">
      <c r="A271" s="678"/>
      <c r="B271" s="679"/>
      <c r="C271" s="679"/>
      <c r="D271" s="679"/>
      <c r="E271" s="679"/>
      <c r="F271" s="679"/>
      <c r="G271" s="679"/>
      <c r="H271" s="679"/>
      <c r="I271" s="679"/>
      <c r="J271" s="679"/>
      <c r="K271" s="679"/>
      <c r="L271" s="679"/>
      <c r="M271" s="679"/>
    </row>
    <row r="272" spans="1:13" ht="12.75">
      <c r="A272" s="678"/>
      <c r="B272" s="679"/>
      <c r="C272" s="679"/>
      <c r="D272" s="679"/>
      <c r="E272" s="679"/>
      <c r="F272" s="679"/>
      <c r="G272" s="679"/>
      <c r="H272" s="679"/>
      <c r="I272" s="679"/>
      <c r="J272" s="679"/>
      <c r="K272" s="679"/>
      <c r="L272" s="679"/>
      <c r="M272" s="679"/>
    </row>
    <row r="273" spans="1:13" ht="12.75">
      <c r="A273" s="678"/>
      <c r="B273" s="679"/>
      <c r="C273" s="679"/>
      <c r="D273" s="679"/>
      <c r="E273" s="679"/>
      <c r="F273" s="679"/>
      <c r="G273" s="679"/>
      <c r="H273" s="679"/>
      <c r="I273" s="679"/>
      <c r="J273" s="679"/>
      <c r="K273" s="679"/>
      <c r="L273" s="679"/>
      <c r="M273" s="679"/>
    </row>
    <row r="274" spans="1:13" ht="12.75">
      <c r="A274" s="678"/>
      <c r="B274" s="679"/>
      <c r="C274" s="679"/>
      <c r="D274" s="679"/>
      <c r="E274" s="679"/>
      <c r="F274" s="679"/>
      <c r="G274" s="679"/>
      <c r="H274" s="679"/>
      <c r="I274" s="679"/>
      <c r="J274" s="679"/>
      <c r="K274" s="679"/>
      <c r="L274" s="679"/>
      <c r="M274" s="679"/>
    </row>
    <row r="275" spans="1:13" ht="12.75">
      <c r="A275" s="678"/>
      <c r="B275" s="679"/>
      <c r="C275" s="679"/>
      <c r="D275" s="679"/>
      <c r="E275" s="679"/>
      <c r="F275" s="679"/>
      <c r="G275" s="679"/>
      <c r="H275" s="679"/>
      <c r="I275" s="679"/>
      <c r="J275" s="679"/>
      <c r="K275" s="679"/>
      <c r="L275" s="679"/>
      <c r="M275" s="679"/>
    </row>
    <row r="276" spans="1:13" ht="12.75">
      <c r="A276" s="678"/>
      <c r="B276" s="679"/>
      <c r="C276" s="679"/>
      <c r="D276" s="679"/>
      <c r="E276" s="679"/>
      <c r="F276" s="679"/>
      <c r="G276" s="679"/>
      <c r="H276" s="679"/>
      <c r="I276" s="679"/>
      <c r="J276" s="679"/>
      <c r="K276" s="679"/>
      <c r="L276" s="679"/>
      <c r="M276" s="679"/>
    </row>
    <row r="277" spans="1:13" ht="12.75">
      <c r="A277" s="678"/>
      <c r="B277" s="679"/>
      <c r="C277" s="679"/>
      <c r="D277" s="679"/>
      <c r="E277" s="679"/>
      <c r="F277" s="679"/>
      <c r="G277" s="679"/>
      <c r="H277" s="679"/>
      <c r="I277" s="679"/>
      <c r="J277" s="679"/>
      <c r="K277" s="679"/>
      <c r="L277" s="679"/>
      <c r="M277" s="679"/>
    </row>
    <row r="278" spans="1:13" ht="12.75">
      <c r="A278" s="678"/>
      <c r="B278" s="679"/>
      <c r="C278" s="679"/>
      <c r="D278" s="679"/>
      <c r="E278" s="679"/>
      <c r="F278" s="679"/>
      <c r="G278" s="679"/>
      <c r="H278" s="679"/>
      <c r="I278" s="679"/>
      <c r="J278" s="679"/>
      <c r="K278" s="679"/>
      <c r="L278" s="679"/>
      <c r="M278" s="679"/>
    </row>
    <row r="279" spans="1:13" ht="12.75">
      <c r="A279" s="678"/>
      <c r="B279" s="679"/>
      <c r="C279" s="679"/>
      <c r="D279" s="679"/>
      <c r="E279" s="679"/>
      <c r="F279" s="679"/>
      <c r="G279" s="679"/>
      <c r="H279" s="679"/>
      <c r="I279" s="679"/>
      <c r="J279" s="679"/>
      <c r="K279" s="679"/>
      <c r="L279" s="679"/>
      <c r="M279" s="679"/>
    </row>
    <row r="280" spans="1:13" ht="12.75">
      <c r="A280" s="678"/>
      <c r="B280" s="679"/>
      <c r="C280" s="679"/>
      <c r="D280" s="679"/>
      <c r="E280" s="679"/>
      <c r="F280" s="679"/>
      <c r="G280" s="679"/>
      <c r="H280" s="679"/>
      <c r="I280" s="679"/>
      <c r="J280" s="679"/>
      <c r="K280" s="679"/>
      <c r="L280" s="679"/>
      <c r="M280" s="679"/>
    </row>
    <row r="281" spans="1:13" ht="12.75">
      <c r="A281" s="678"/>
      <c r="B281" s="679"/>
      <c r="C281" s="679"/>
      <c r="D281" s="679"/>
      <c r="E281" s="679"/>
      <c r="F281" s="679"/>
      <c r="G281" s="679"/>
      <c r="H281" s="679"/>
      <c r="I281" s="679"/>
      <c r="J281" s="679"/>
      <c r="K281" s="679"/>
      <c r="L281" s="679"/>
      <c r="M281" s="679"/>
    </row>
    <row r="282" spans="1:13" ht="12.75">
      <c r="A282" s="678"/>
      <c r="B282" s="679"/>
      <c r="C282" s="679"/>
      <c r="D282" s="679"/>
      <c r="E282" s="679"/>
      <c r="F282" s="679"/>
      <c r="G282" s="679"/>
      <c r="H282" s="679"/>
      <c r="I282" s="679"/>
      <c r="J282" s="679"/>
      <c r="K282" s="679"/>
      <c r="L282" s="679"/>
      <c r="M282" s="679"/>
    </row>
    <row r="283" spans="1:13" ht="12.75">
      <c r="A283" s="678"/>
      <c r="B283" s="679"/>
      <c r="C283" s="679"/>
      <c r="D283" s="679"/>
      <c r="E283" s="679"/>
      <c r="F283" s="679"/>
      <c r="G283" s="679"/>
      <c r="H283" s="679"/>
      <c r="I283" s="679"/>
      <c r="J283" s="679"/>
      <c r="K283" s="679"/>
      <c r="L283" s="679"/>
      <c r="M283" s="679"/>
    </row>
    <row r="284" spans="1:13" ht="12.75">
      <c r="A284" s="678"/>
      <c r="B284" s="679"/>
      <c r="C284" s="679"/>
      <c r="D284" s="679"/>
      <c r="E284" s="679"/>
      <c r="F284" s="679"/>
      <c r="G284" s="679"/>
      <c r="H284" s="679"/>
      <c r="I284" s="679"/>
      <c r="J284" s="679"/>
      <c r="K284" s="679"/>
      <c r="L284" s="679"/>
      <c r="M284" s="679"/>
    </row>
    <row r="285" spans="1:13" ht="12.75">
      <c r="A285" s="678"/>
      <c r="B285" s="679"/>
      <c r="C285" s="679"/>
      <c r="D285" s="679"/>
      <c r="E285" s="679"/>
      <c r="F285" s="679"/>
      <c r="G285" s="679"/>
      <c r="H285" s="679"/>
      <c r="I285" s="679"/>
      <c r="J285" s="679"/>
      <c r="K285" s="679"/>
      <c r="L285" s="679"/>
      <c r="M285" s="679"/>
    </row>
    <row r="286" spans="1:13" ht="12.75">
      <c r="A286" s="678"/>
      <c r="B286" s="679"/>
      <c r="C286" s="679"/>
      <c r="D286" s="679"/>
      <c r="E286" s="679"/>
      <c r="F286" s="679"/>
      <c r="G286" s="679"/>
      <c r="H286" s="679"/>
      <c r="I286" s="679"/>
      <c r="J286" s="679"/>
      <c r="K286" s="679"/>
      <c r="L286" s="679"/>
      <c r="M286" s="679"/>
    </row>
    <row r="287" spans="1:13" ht="12.75">
      <c r="A287" s="678"/>
      <c r="B287" s="679"/>
      <c r="C287" s="679"/>
      <c r="D287" s="679"/>
      <c r="E287" s="679"/>
      <c r="F287" s="679"/>
      <c r="G287" s="679"/>
      <c r="H287" s="679"/>
      <c r="I287" s="679"/>
      <c r="J287" s="679"/>
      <c r="K287" s="679"/>
      <c r="L287" s="679"/>
      <c r="M287" s="679"/>
    </row>
    <row r="288" spans="1:13" ht="12.75">
      <c r="A288" s="678"/>
      <c r="B288" s="679"/>
      <c r="C288" s="679"/>
      <c r="D288" s="679"/>
      <c r="E288" s="679"/>
      <c r="F288" s="679"/>
      <c r="G288" s="679"/>
      <c r="H288" s="679"/>
      <c r="I288" s="679"/>
      <c r="J288" s="679"/>
      <c r="K288" s="679"/>
      <c r="L288" s="679"/>
      <c r="M288" s="679"/>
    </row>
    <row r="289" spans="1:13" ht="12.75">
      <c r="A289" s="678"/>
      <c r="B289" s="679"/>
      <c r="C289" s="679"/>
      <c r="D289" s="679"/>
      <c r="E289" s="679"/>
      <c r="F289" s="679"/>
      <c r="G289" s="679"/>
      <c r="H289" s="679"/>
      <c r="I289" s="679"/>
      <c r="J289" s="679"/>
      <c r="K289" s="679"/>
      <c r="L289" s="679"/>
      <c r="M289" s="679"/>
    </row>
    <row r="290" spans="1:13" ht="12.75">
      <c r="A290" s="678"/>
      <c r="B290" s="679"/>
      <c r="C290" s="679"/>
      <c r="D290" s="679"/>
      <c r="E290" s="679"/>
      <c r="F290" s="679"/>
      <c r="G290" s="679"/>
      <c r="H290" s="679"/>
      <c r="I290" s="679"/>
      <c r="J290" s="679"/>
      <c r="K290" s="679"/>
      <c r="L290" s="679"/>
      <c r="M290" s="679"/>
    </row>
    <row r="291" spans="1:13" ht="12.75">
      <c r="A291" s="678"/>
      <c r="B291" s="679"/>
      <c r="C291" s="679"/>
      <c r="D291" s="679"/>
      <c r="E291" s="679"/>
      <c r="F291" s="679"/>
      <c r="G291" s="679"/>
      <c r="H291" s="679"/>
      <c r="I291" s="679"/>
      <c r="J291" s="679"/>
      <c r="K291" s="679"/>
      <c r="L291" s="679"/>
      <c r="M291" s="679"/>
    </row>
    <row r="292" spans="1:13" ht="12.75">
      <c r="A292" s="678"/>
      <c r="B292" s="679"/>
      <c r="C292" s="679"/>
      <c r="D292" s="679"/>
      <c r="E292" s="679"/>
      <c r="F292" s="679"/>
      <c r="G292" s="679"/>
      <c r="H292" s="679"/>
      <c r="I292" s="679"/>
      <c r="J292" s="679"/>
      <c r="K292" s="679"/>
      <c r="L292" s="679"/>
      <c r="M292" s="679"/>
    </row>
    <row r="293" spans="1:13" ht="12.75">
      <c r="A293" s="678"/>
      <c r="B293" s="679"/>
      <c r="C293" s="679"/>
      <c r="D293" s="679"/>
      <c r="E293" s="679"/>
      <c r="F293" s="679"/>
      <c r="G293" s="679"/>
      <c r="H293" s="679"/>
      <c r="I293" s="679"/>
      <c r="J293" s="679"/>
      <c r="K293" s="679"/>
      <c r="L293" s="679"/>
      <c r="M293" s="679"/>
    </row>
    <row r="294" spans="1:13" ht="12.75">
      <c r="A294" s="678"/>
      <c r="B294" s="679"/>
      <c r="C294" s="679"/>
      <c r="D294" s="679"/>
      <c r="E294" s="679"/>
      <c r="F294" s="679"/>
      <c r="G294" s="679"/>
      <c r="H294" s="679"/>
      <c r="I294" s="679"/>
      <c r="J294" s="679"/>
      <c r="K294" s="679"/>
      <c r="L294" s="679"/>
      <c r="M294" s="679"/>
    </row>
    <row r="295" spans="1:13" ht="12.75">
      <c r="A295" s="678"/>
      <c r="B295" s="679"/>
      <c r="C295" s="679"/>
      <c r="D295" s="679"/>
      <c r="E295" s="679"/>
      <c r="F295" s="679"/>
      <c r="G295" s="679"/>
      <c r="H295" s="679"/>
      <c r="I295" s="679"/>
      <c r="J295" s="679"/>
      <c r="K295" s="679"/>
      <c r="L295" s="679"/>
      <c r="M295" s="679"/>
    </row>
    <row r="296" spans="1:13" ht="12.75">
      <c r="A296" s="678"/>
      <c r="B296" s="679"/>
      <c r="C296" s="679"/>
      <c r="D296" s="679"/>
      <c r="E296" s="679"/>
      <c r="F296" s="679"/>
      <c r="G296" s="679"/>
      <c r="H296" s="679"/>
      <c r="I296" s="679"/>
      <c r="J296" s="679"/>
      <c r="K296" s="679"/>
      <c r="L296" s="679"/>
      <c r="M296" s="679"/>
    </row>
    <row r="297" spans="1:13" ht="12.75">
      <c r="A297" s="678"/>
      <c r="B297" s="679"/>
      <c r="C297" s="679"/>
      <c r="D297" s="679"/>
      <c r="E297" s="679"/>
      <c r="F297" s="679"/>
      <c r="G297" s="679"/>
      <c r="H297" s="679"/>
      <c r="I297" s="679"/>
      <c r="J297" s="679"/>
      <c r="K297" s="679"/>
      <c r="L297" s="679"/>
      <c r="M297" s="679"/>
    </row>
    <row r="298" spans="1:13" ht="12.75">
      <c r="A298" s="678"/>
      <c r="B298" s="679"/>
      <c r="C298" s="679"/>
      <c r="D298" s="679"/>
      <c r="E298" s="679"/>
      <c r="F298" s="679"/>
      <c r="G298" s="679"/>
      <c r="H298" s="679"/>
      <c r="I298" s="679"/>
      <c r="J298" s="679"/>
      <c r="K298" s="679"/>
      <c r="L298" s="679"/>
      <c r="M298" s="679"/>
    </row>
    <row r="299" spans="1:13" ht="12.75">
      <c r="A299" s="678"/>
      <c r="B299" s="679"/>
      <c r="C299" s="679"/>
      <c r="D299" s="679"/>
      <c r="E299" s="679"/>
      <c r="F299" s="679"/>
      <c r="G299" s="679"/>
      <c r="H299" s="679"/>
      <c r="I299" s="679"/>
      <c r="J299" s="679"/>
      <c r="K299" s="679"/>
      <c r="L299" s="679"/>
      <c r="M299" s="679"/>
    </row>
    <row r="300" spans="1:13" ht="12.75">
      <c r="A300" s="678"/>
      <c r="B300" s="679"/>
      <c r="C300" s="679"/>
      <c r="D300" s="679"/>
      <c r="E300" s="679"/>
      <c r="F300" s="679"/>
      <c r="G300" s="679"/>
      <c r="H300" s="679"/>
      <c r="I300" s="679"/>
      <c r="J300" s="679"/>
      <c r="K300" s="679"/>
      <c r="L300" s="679"/>
      <c r="M300" s="679"/>
    </row>
    <row r="301" spans="1:13" ht="12.75">
      <c r="A301" s="678"/>
      <c r="B301" s="679"/>
      <c r="C301" s="679"/>
      <c r="D301" s="679"/>
      <c r="E301" s="679"/>
      <c r="F301" s="679"/>
      <c r="G301" s="679"/>
      <c r="H301" s="679"/>
      <c r="I301" s="679"/>
      <c r="J301" s="679"/>
      <c r="K301" s="679"/>
      <c r="L301" s="679"/>
      <c r="M301" s="679"/>
    </row>
    <row r="302" spans="1:13" ht="12.75">
      <c r="A302" s="678"/>
      <c r="B302" s="679"/>
      <c r="C302" s="679"/>
      <c r="D302" s="679"/>
      <c r="E302" s="679"/>
      <c r="F302" s="679"/>
      <c r="G302" s="679"/>
      <c r="H302" s="679"/>
      <c r="I302" s="679"/>
      <c r="J302" s="679"/>
      <c r="K302" s="679"/>
      <c r="L302" s="679"/>
      <c r="M302" s="679"/>
    </row>
    <row r="303" spans="1:13" ht="12.75">
      <c r="A303" s="678"/>
      <c r="B303" s="679"/>
      <c r="C303" s="679"/>
      <c r="D303" s="679"/>
      <c r="E303" s="679"/>
      <c r="F303" s="679"/>
      <c r="G303" s="679"/>
      <c r="H303" s="679"/>
      <c r="I303" s="679"/>
      <c r="J303" s="679"/>
      <c r="K303" s="679"/>
      <c r="L303" s="679"/>
      <c r="M303" s="679"/>
    </row>
    <row r="304" spans="1:13" ht="12.75">
      <c r="A304" s="678"/>
      <c r="B304" s="679"/>
      <c r="C304" s="679"/>
      <c r="D304" s="679"/>
      <c r="E304" s="679"/>
      <c r="F304" s="679"/>
      <c r="G304" s="679"/>
      <c r="H304" s="679"/>
      <c r="I304" s="679"/>
      <c r="J304" s="679"/>
      <c r="K304" s="679"/>
      <c r="L304" s="679"/>
      <c r="M304" s="679"/>
    </row>
    <row r="305" spans="1:13" ht="12.75">
      <c r="A305" s="678"/>
      <c r="B305" s="679"/>
      <c r="C305" s="679"/>
      <c r="D305" s="679"/>
      <c r="E305" s="679"/>
      <c r="F305" s="679"/>
      <c r="G305" s="679"/>
      <c r="H305" s="679"/>
      <c r="I305" s="679"/>
      <c r="J305" s="679"/>
      <c r="K305" s="679"/>
      <c r="L305" s="679"/>
      <c r="M305" s="679"/>
    </row>
    <row r="306" spans="1:13" ht="12.75">
      <c r="A306" s="678"/>
      <c r="B306" s="679"/>
      <c r="C306" s="679"/>
      <c r="D306" s="679"/>
      <c r="E306" s="679"/>
      <c r="F306" s="679"/>
      <c r="G306" s="679"/>
      <c r="H306" s="679"/>
      <c r="I306" s="679"/>
      <c r="J306" s="679"/>
      <c r="K306" s="679"/>
      <c r="L306" s="679"/>
      <c r="M306" s="679"/>
    </row>
    <row r="307" spans="1:13" ht="12.75">
      <c r="A307" s="678"/>
      <c r="B307" s="679"/>
      <c r="C307" s="679"/>
      <c r="D307" s="679"/>
      <c r="E307" s="679"/>
      <c r="F307" s="679"/>
      <c r="G307" s="679"/>
      <c r="H307" s="679"/>
      <c r="I307" s="679"/>
      <c r="J307" s="679"/>
      <c r="K307" s="679"/>
      <c r="L307" s="679"/>
      <c r="M307" s="679"/>
    </row>
    <row r="308" spans="1:13" ht="12.75">
      <c r="A308" s="678"/>
      <c r="B308" s="679"/>
      <c r="C308" s="679"/>
      <c r="D308" s="679"/>
      <c r="E308" s="679"/>
      <c r="F308" s="679"/>
      <c r="G308" s="679"/>
      <c r="H308" s="679"/>
      <c r="I308" s="679"/>
      <c r="J308" s="679"/>
      <c r="K308" s="679"/>
      <c r="L308" s="679"/>
      <c r="M308" s="679"/>
    </row>
    <row r="309" spans="1:13" ht="12.75">
      <c r="A309" s="678"/>
      <c r="B309" s="679"/>
      <c r="C309" s="679"/>
      <c r="D309" s="679"/>
      <c r="E309" s="679"/>
      <c r="F309" s="679"/>
      <c r="G309" s="679"/>
      <c r="H309" s="679"/>
      <c r="I309" s="679"/>
      <c r="J309" s="679"/>
      <c r="K309" s="679"/>
      <c r="L309" s="679"/>
      <c r="M309" s="679"/>
    </row>
    <row r="310" spans="1:13" ht="12.75">
      <c r="A310" s="678"/>
      <c r="B310" s="679"/>
      <c r="C310" s="679"/>
      <c r="D310" s="679"/>
      <c r="E310" s="679"/>
      <c r="F310" s="679"/>
      <c r="G310" s="679"/>
      <c r="H310" s="679"/>
      <c r="I310" s="679"/>
      <c r="J310" s="679"/>
      <c r="K310" s="679"/>
      <c r="L310" s="679"/>
      <c r="M310" s="679"/>
    </row>
    <row r="311" spans="1:13" ht="12.75">
      <c r="A311" s="678"/>
      <c r="B311" s="679"/>
      <c r="C311" s="679"/>
      <c r="D311" s="679"/>
      <c r="E311" s="679"/>
      <c r="F311" s="679"/>
      <c r="G311" s="679"/>
      <c r="H311" s="679"/>
      <c r="I311" s="679"/>
      <c r="J311" s="679"/>
      <c r="K311" s="679"/>
      <c r="L311" s="679"/>
      <c r="M311" s="679"/>
    </row>
    <row r="312" spans="1:13" ht="12.75">
      <c r="A312" s="678"/>
      <c r="B312" s="679"/>
      <c r="C312" s="679"/>
      <c r="D312" s="679"/>
      <c r="E312" s="679"/>
      <c r="F312" s="679"/>
      <c r="G312" s="679"/>
      <c r="H312" s="679"/>
      <c r="I312" s="679"/>
      <c r="J312" s="679"/>
      <c r="K312" s="679"/>
      <c r="L312" s="679"/>
      <c r="M312" s="679"/>
    </row>
    <row r="313" spans="1:13" ht="12.75">
      <c r="A313" s="678"/>
      <c r="B313" s="679"/>
      <c r="C313" s="679"/>
      <c r="D313" s="679"/>
      <c r="E313" s="679"/>
      <c r="F313" s="679"/>
      <c r="G313" s="679"/>
      <c r="H313" s="679"/>
      <c r="I313" s="679"/>
      <c r="J313" s="679"/>
      <c r="K313" s="679"/>
      <c r="L313" s="679"/>
      <c r="M313" s="679"/>
    </row>
    <row r="314" spans="1:13" ht="12.75">
      <c r="A314" s="678"/>
      <c r="B314" s="679"/>
      <c r="C314" s="679"/>
      <c r="D314" s="679"/>
      <c r="E314" s="679"/>
      <c r="F314" s="679"/>
      <c r="G314" s="679"/>
      <c r="H314" s="679"/>
      <c r="I314" s="679"/>
      <c r="J314" s="679"/>
      <c r="K314" s="679"/>
      <c r="L314" s="679"/>
      <c r="M314" s="679"/>
    </row>
    <row r="315" spans="1:13" ht="12.75">
      <c r="A315" s="678"/>
      <c r="B315" s="679"/>
      <c r="C315" s="679"/>
      <c r="D315" s="679"/>
      <c r="E315" s="679"/>
      <c r="F315" s="679"/>
      <c r="G315" s="679"/>
      <c r="H315" s="679"/>
      <c r="I315" s="679"/>
      <c r="J315" s="679"/>
      <c r="K315" s="679"/>
      <c r="L315" s="679"/>
      <c r="M315" s="679"/>
    </row>
    <row r="316" spans="1:13" ht="12.75">
      <c r="A316" s="678"/>
      <c r="B316" s="679"/>
      <c r="C316" s="679"/>
      <c r="D316" s="679"/>
      <c r="E316" s="679"/>
      <c r="F316" s="679"/>
      <c r="G316" s="679"/>
      <c r="H316" s="679"/>
      <c r="I316" s="679"/>
      <c r="J316" s="679"/>
      <c r="K316" s="679"/>
      <c r="L316" s="679"/>
      <c r="M316" s="679"/>
    </row>
    <row r="317" spans="1:13" ht="12.75">
      <c r="A317" s="678"/>
      <c r="B317" s="679"/>
      <c r="C317" s="679"/>
      <c r="D317" s="679"/>
      <c r="E317" s="679"/>
      <c r="F317" s="679"/>
      <c r="G317" s="679"/>
      <c r="H317" s="679"/>
      <c r="I317" s="679"/>
      <c r="J317" s="679"/>
      <c r="K317" s="679"/>
      <c r="L317" s="679"/>
      <c r="M317" s="679"/>
    </row>
    <row r="318" spans="1:13" ht="12.75">
      <c r="A318" s="678"/>
      <c r="B318" s="679"/>
      <c r="C318" s="679"/>
      <c r="D318" s="679"/>
      <c r="E318" s="679"/>
      <c r="F318" s="679"/>
      <c r="G318" s="679"/>
      <c r="H318" s="679"/>
      <c r="I318" s="679"/>
      <c r="J318" s="679"/>
      <c r="K318" s="679"/>
      <c r="L318" s="679"/>
      <c r="M318" s="679"/>
    </row>
    <row r="319" spans="1:13" ht="12.75">
      <c r="A319" s="678"/>
      <c r="B319" s="679"/>
      <c r="C319" s="679"/>
      <c r="D319" s="679"/>
      <c r="E319" s="679"/>
      <c r="F319" s="679"/>
      <c r="G319" s="679"/>
      <c r="H319" s="679"/>
      <c r="I319" s="679"/>
      <c r="J319" s="679"/>
      <c r="K319" s="679"/>
      <c r="L319" s="679"/>
      <c r="M319" s="679"/>
    </row>
    <row r="320" spans="1:13" ht="12.75">
      <c r="A320" s="678"/>
      <c r="B320" s="679"/>
      <c r="C320" s="679"/>
      <c r="D320" s="679"/>
      <c r="E320" s="679"/>
      <c r="F320" s="679"/>
      <c r="G320" s="679"/>
      <c r="H320" s="679"/>
      <c r="I320" s="679"/>
      <c r="J320" s="679"/>
      <c r="K320" s="679"/>
      <c r="L320" s="679"/>
      <c r="M320" s="679"/>
    </row>
    <row r="321" spans="1:13" ht="12.75">
      <c r="A321" s="678"/>
      <c r="B321" s="679"/>
      <c r="C321" s="679"/>
      <c r="D321" s="679"/>
      <c r="E321" s="679"/>
      <c r="F321" s="679"/>
      <c r="G321" s="679"/>
      <c r="H321" s="679"/>
      <c r="I321" s="679"/>
      <c r="J321" s="679"/>
      <c r="K321" s="679"/>
      <c r="L321" s="679"/>
      <c r="M321" s="679"/>
    </row>
    <row r="322" spans="1:13" ht="12.75">
      <c r="A322" s="678"/>
      <c r="B322" s="679"/>
      <c r="C322" s="679"/>
      <c r="D322" s="679"/>
      <c r="E322" s="679"/>
      <c r="F322" s="679"/>
      <c r="G322" s="679"/>
      <c r="H322" s="679"/>
      <c r="I322" s="679"/>
      <c r="J322" s="679"/>
      <c r="K322" s="679"/>
      <c r="L322" s="679"/>
      <c r="M322" s="679"/>
    </row>
    <row r="323" spans="1:13" ht="12.75">
      <c r="A323" s="678"/>
      <c r="B323" s="679"/>
      <c r="C323" s="679"/>
      <c r="D323" s="679"/>
      <c r="E323" s="679"/>
      <c r="F323" s="679"/>
      <c r="G323" s="679"/>
      <c r="H323" s="679"/>
      <c r="I323" s="679"/>
      <c r="J323" s="679"/>
      <c r="K323" s="679"/>
      <c r="L323" s="679"/>
      <c r="M323" s="679"/>
    </row>
    <row r="324" spans="1:13" ht="12.75">
      <c r="A324" s="678"/>
      <c r="B324" s="679"/>
      <c r="C324" s="679"/>
      <c r="D324" s="679"/>
      <c r="E324" s="679"/>
      <c r="F324" s="679"/>
      <c r="G324" s="679"/>
      <c r="H324" s="679"/>
      <c r="I324" s="679"/>
      <c r="J324" s="679"/>
      <c r="K324" s="679"/>
      <c r="L324" s="679"/>
      <c r="M324" s="679"/>
    </row>
    <row r="325" spans="1:13" ht="12.75">
      <c r="A325" s="678"/>
      <c r="B325" s="679"/>
      <c r="C325" s="679"/>
      <c r="D325" s="679"/>
      <c r="E325" s="679"/>
      <c r="F325" s="679"/>
      <c r="G325" s="679"/>
      <c r="H325" s="679"/>
      <c r="I325" s="679"/>
      <c r="J325" s="679"/>
      <c r="K325" s="679"/>
      <c r="L325" s="679"/>
      <c r="M325" s="679"/>
    </row>
    <row r="326" spans="1:13" ht="12.75">
      <c r="A326" s="678"/>
      <c r="B326" s="679"/>
      <c r="C326" s="679"/>
      <c r="D326" s="679"/>
      <c r="E326" s="679"/>
      <c r="F326" s="679"/>
      <c r="G326" s="679"/>
      <c r="H326" s="679"/>
      <c r="I326" s="679"/>
      <c r="J326" s="679"/>
      <c r="K326" s="679"/>
      <c r="L326" s="679"/>
      <c r="M326" s="679"/>
    </row>
    <row r="327" spans="1:13" ht="12.75">
      <c r="A327" s="678"/>
      <c r="B327" s="679"/>
      <c r="C327" s="679"/>
      <c r="D327" s="679"/>
      <c r="E327" s="679"/>
      <c r="F327" s="679"/>
      <c r="G327" s="679"/>
      <c r="H327" s="679"/>
      <c r="I327" s="679"/>
      <c r="J327" s="679"/>
      <c r="K327" s="679"/>
      <c r="L327" s="679"/>
      <c r="M327" s="679"/>
    </row>
    <row r="328" spans="1:13" ht="12.75">
      <c r="A328" s="678"/>
      <c r="B328" s="679"/>
      <c r="C328" s="679"/>
      <c r="D328" s="679"/>
      <c r="E328" s="679"/>
      <c r="F328" s="679"/>
      <c r="G328" s="679"/>
      <c r="H328" s="679"/>
      <c r="I328" s="679"/>
      <c r="J328" s="679"/>
      <c r="K328" s="679"/>
      <c r="L328" s="679"/>
      <c r="M328" s="679"/>
    </row>
    <row r="329" spans="1:13" ht="12.75">
      <c r="A329" s="678"/>
      <c r="B329" s="679"/>
      <c r="C329" s="679"/>
      <c r="D329" s="679"/>
      <c r="E329" s="679"/>
      <c r="F329" s="679"/>
      <c r="G329" s="679"/>
      <c r="H329" s="679"/>
      <c r="I329" s="679"/>
      <c r="J329" s="679"/>
      <c r="K329" s="679"/>
      <c r="L329" s="679"/>
      <c r="M329" s="679"/>
    </row>
    <row r="330" spans="1:13" ht="12.75">
      <c r="A330" s="678"/>
      <c r="B330" s="679"/>
      <c r="C330" s="679"/>
      <c r="D330" s="679"/>
      <c r="E330" s="679"/>
      <c r="F330" s="679"/>
      <c r="G330" s="679"/>
      <c r="H330" s="679"/>
      <c r="I330" s="679"/>
      <c r="J330" s="679"/>
      <c r="K330" s="679"/>
      <c r="L330" s="679"/>
      <c r="M330" s="679"/>
    </row>
    <row r="331" spans="1:13" ht="12.75">
      <c r="A331" s="678"/>
      <c r="B331" s="679"/>
      <c r="C331" s="679"/>
      <c r="D331" s="679"/>
      <c r="E331" s="679"/>
      <c r="F331" s="679"/>
      <c r="G331" s="679"/>
      <c r="H331" s="679"/>
      <c r="I331" s="679"/>
      <c r="J331" s="679"/>
      <c r="K331" s="679"/>
      <c r="L331" s="679"/>
      <c r="M331" s="679"/>
    </row>
    <row r="332" spans="1:13" ht="12.75">
      <c r="A332" s="678"/>
      <c r="B332" s="679"/>
      <c r="C332" s="679"/>
      <c r="D332" s="679"/>
      <c r="E332" s="679"/>
      <c r="F332" s="679"/>
      <c r="G332" s="679"/>
      <c r="H332" s="679"/>
      <c r="I332" s="679"/>
      <c r="J332" s="679"/>
      <c r="K332" s="679"/>
      <c r="L332" s="679"/>
      <c r="M332" s="679"/>
    </row>
    <row r="333" spans="1:13" ht="12.75">
      <c r="A333" s="678"/>
      <c r="B333" s="679"/>
      <c r="C333" s="679"/>
      <c r="D333" s="679"/>
      <c r="E333" s="679"/>
      <c r="F333" s="679"/>
      <c r="G333" s="679"/>
      <c r="H333" s="679"/>
      <c r="I333" s="679"/>
      <c r="J333" s="679"/>
      <c r="K333" s="679"/>
      <c r="L333" s="679"/>
      <c r="M333" s="679"/>
    </row>
    <row r="334" spans="1:13" ht="12.75">
      <c r="A334" s="678"/>
      <c r="B334" s="679"/>
      <c r="C334" s="679"/>
      <c r="D334" s="679"/>
      <c r="E334" s="679"/>
      <c r="F334" s="679"/>
      <c r="G334" s="679"/>
      <c r="H334" s="679"/>
      <c r="I334" s="679"/>
      <c r="J334" s="679"/>
      <c r="K334" s="679"/>
      <c r="L334" s="679"/>
      <c r="M334" s="679"/>
    </row>
    <row r="335" spans="1:13" ht="12.75">
      <c r="A335" s="678"/>
      <c r="B335" s="679"/>
      <c r="C335" s="679"/>
      <c r="D335" s="679"/>
      <c r="E335" s="679"/>
      <c r="F335" s="679"/>
      <c r="G335" s="679"/>
      <c r="H335" s="679"/>
      <c r="I335" s="679"/>
      <c r="J335" s="679"/>
      <c r="K335" s="679"/>
      <c r="L335" s="679"/>
      <c r="M335" s="679"/>
    </row>
    <row r="336" spans="1:13" ht="12.75">
      <c r="A336" s="678"/>
      <c r="B336" s="679"/>
      <c r="C336" s="679"/>
      <c r="D336" s="679"/>
      <c r="E336" s="679"/>
      <c r="F336" s="679"/>
      <c r="G336" s="679"/>
      <c r="H336" s="679"/>
      <c r="I336" s="679"/>
      <c r="J336" s="679"/>
      <c r="K336" s="679"/>
      <c r="L336" s="679"/>
      <c r="M336" s="679"/>
    </row>
    <row r="337" spans="1:13" ht="12.75">
      <c r="A337" s="678"/>
      <c r="B337" s="679"/>
      <c r="C337" s="679"/>
      <c r="D337" s="679"/>
      <c r="E337" s="679"/>
      <c r="F337" s="679"/>
      <c r="G337" s="679"/>
      <c r="H337" s="679"/>
      <c r="I337" s="679"/>
      <c r="J337" s="679"/>
      <c r="K337" s="679"/>
      <c r="L337" s="679"/>
      <c r="M337" s="679"/>
    </row>
    <row r="338" spans="1:13" ht="12.75">
      <c r="A338" s="678"/>
      <c r="B338" s="679"/>
      <c r="C338" s="679"/>
      <c r="D338" s="679"/>
      <c r="E338" s="679"/>
      <c r="F338" s="679"/>
      <c r="G338" s="679"/>
      <c r="H338" s="679"/>
      <c r="I338" s="679"/>
      <c r="J338" s="679"/>
      <c r="K338" s="679"/>
      <c r="L338" s="679"/>
      <c r="M338" s="679"/>
    </row>
    <row r="339" spans="1:13" ht="12.75">
      <c r="A339" s="678"/>
      <c r="B339" s="679"/>
      <c r="C339" s="679"/>
      <c r="D339" s="679"/>
      <c r="E339" s="679"/>
      <c r="F339" s="679"/>
      <c r="G339" s="679"/>
      <c r="H339" s="679"/>
      <c r="I339" s="679"/>
      <c r="J339" s="679"/>
      <c r="K339" s="679"/>
      <c r="L339" s="679"/>
      <c r="M339" s="679"/>
    </row>
    <row r="340" spans="1:13" ht="12.75">
      <c r="A340" s="678"/>
      <c r="B340" s="679"/>
      <c r="C340" s="679"/>
      <c r="D340" s="679"/>
      <c r="E340" s="679"/>
      <c r="F340" s="679"/>
      <c r="G340" s="679"/>
      <c r="H340" s="679"/>
      <c r="I340" s="679"/>
      <c r="J340" s="679"/>
      <c r="K340" s="679"/>
      <c r="L340" s="679"/>
      <c r="M340" s="679"/>
    </row>
    <row r="341" spans="1:13" ht="12.75">
      <c r="A341" s="678"/>
      <c r="B341" s="679"/>
      <c r="C341" s="679"/>
      <c r="D341" s="679"/>
      <c r="E341" s="679"/>
      <c r="F341" s="679"/>
      <c r="G341" s="679"/>
      <c r="H341" s="679"/>
      <c r="I341" s="679"/>
      <c r="J341" s="679"/>
      <c r="K341" s="679"/>
      <c r="L341" s="679"/>
      <c r="M341" s="679"/>
    </row>
    <row r="342" spans="1:13" ht="12.75">
      <c r="A342" s="678"/>
      <c r="B342" s="679"/>
      <c r="C342" s="679"/>
      <c r="D342" s="679"/>
      <c r="E342" s="679"/>
      <c r="F342" s="679"/>
      <c r="G342" s="679"/>
      <c r="H342" s="679"/>
      <c r="I342" s="679"/>
      <c r="J342" s="679"/>
      <c r="K342" s="679"/>
      <c r="L342" s="679"/>
      <c r="M342" s="679"/>
    </row>
    <row r="343" spans="1:13" ht="12.75">
      <c r="A343" s="678"/>
      <c r="B343" s="679"/>
      <c r="C343" s="679"/>
      <c r="D343" s="679"/>
      <c r="E343" s="679"/>
      <c r="F343" s="679"/>
      <c r="G343" s="679"/>
      <c r="H343" s="679"/>
      <c r="I343" s="679"/>
      <c r="J343" s="679"/>
      <c r="K343" s="679"/>
      <c r="L343" s="679"/>
      <c r="M343" s="679"/>
    </row>
    <row r="344" spans="1:13" ht="12.75">
      <c r="A344" s="678"/>
      <c r="B344" s="679"/>
      <c r="C344" s="679"/>
      <c r="D344" s="679"/>
      <c r="E344" s="679"/>
      <c r="F344" s="679"/>
      <c r="G344" s="679"/>
      <c r="H344" s="679"/>
      <c r="I344" s="679"/>
      <c r="J344" s="679"/>
      <c r="K344" s="679"/>
      <c r="L344" s="679"/>
      <c r="M344" s="679"/>
    </row>
    <row r="345" spans="1:13" ht="12.75">
      <c r="A345" s="678"/>
      <c r="B345" s="679"/>
      <c r="C345" s="679"/>
      <c r="D345" s="679"/>
      <c r="E345" s="679"/>
      <c r="F345" s="679"/>
      <c r="G345" s="679"/>
      <c r="H345" s="679"/>
      <c r="I345" s="679"/>
      <c r="J345" s="679"/>
      <c r="K345" s="679"/>
      <c r="L345" s="679"/>
      <c r="M345" s="679"/>
    </row>
    <row r="346" spans="1:13" ht="12.75">
      <c r="A346" s="678"/>
      <c r="B346" s="679"/>
      <c r="C346" s="679"/>
      <c r="D346" s="679"/>
      <c r="E346" s="679"/>
      <c r="F346" s="679"/>
      <c r="G346" s="679"/>
      <c r="H346" s="679"/>
      <c r="I346" s="679"/>
      <c r="J346" s="679"/>
      <c r="K346" s="679"/>
      <c r="L346" s="679"/>
      <c r="M346" s="679"/>
    </row>
    <row r="347" spans="1:13" ht="12.75">
      <c r="A347" s="678"/>
      <c r="B347" s="679"/>
      <c r="C347" s="679"/>
      <c r="D347" s="679"/>
      <c r="E347" s="679"/>
      <c r="F347" s="679"/>
      <c r="G347" s="679"/>
      <c r="H347" s="679"/>
      <c r="I347" s="679"/>
      <c r="J347" s="679"/>
      <c r="K347" s="679"/>
      <c r="L347" s="679"/>
      <c r="M347" s="679"/>
    </row>
    <row r="348" spans="1:13" ht="12.75">
      <c r="A348" s="678"/>
      <c r="B348" s="679"/>
      <c r="C348" s="679"/>
      <c r="D348" s="679"/>
      <c r="E348" s="679"/>
      <c r="F348" s="679"/>
      <c r="G348" s="679"/>
      <c r="H348" s="679"/>
      <c r="I348" s="679"/>
      <c r="J348" s="679"/>
      <c r="K348" s="679"/>
      <c r="L348" s="679"/>
      <c r="M348" s="679"/>
    </row>
    <row r="349" spans="1:13" ht="12.75">
      <c r="A349" s="678"/>
      <c r="B349" s="679"/>
      <c r="C349" s="679"/>
      <c r="D349" s="679"/>
      <c r="E349" s="679"/>
      <c r="F349" s="679"/>
      <c r="G349" s="679"/>
      <c r="H349" s="679"/>
      <c r="I349" s="679"/>
      <c r="J349" s="679"/>
      <c r="K349" s="679"/>
      <c r="L349" s="679"/>
      <c r="M349" s="679"/>
    </row>
    <row r="350" spans="1:13" ht="12.75">
      <c r="A350" s="678"/>
      <c r="B350" s="679"/>
      <c r="C350" s="679"/>
      <c r="D350" s="679"/>
      <c r="E350" s="679"/>
      <c r="F350" s="679"/>
      <c r="G350" s="679"/>
      <c r="H350" s="679"/>
      <c r="I350" s="679"/>
      <c r="J350" s="679"/>
      <c r="K350" s="679"/>
      <c r="L350" s="679"/>
      <c r="M350" s="679"/>
    </row>
    <row r="351" spans="1:13" ht="12.75">
      <c r="A351" s="678"/>
      <c r="B351" s="679"/>
      <c r="C351" s="679"/>
      <c r="D351" s="679"/>
      <c r="E351" s="679"/>
      <c r="F351" s="679"/>
      <c r="G351" s="679"/>
      <c r="H351" s="679"/>
      <c r="I351" s="679"/>
      <c r="J351" s="679"/>
      <c r="K351" s="679"/>
      <c r="L351" s="679"/>
      <c r="M351" s="679"/>
    </row>
    <row r="352" spans="1:13" ht="12.75">
      <c r="A352" s="678"/>
      <c r="B352" s="679"/>
      <c r="C352" s="679"/>
      <c r="D352" s="679"/>
      <c r="E352" s="679"/>
      <c r="F352" s="679"/>
      <c r="G352" s="679"/>
      <c r="H352" s="679"/>
      <c r="I352" s="679"/>
      <c r="J352" s="679"/>
      <c r="K352" s="679"/>
      <c r="L352" s="679"/>
      <c r="M352" s="679"/>
    </row>
    <row r="353" spans="1:13" ht="12.75">
      <c r="A353" s="678"/>
      <c r="B353" s="679"/>
      <c r="C353" s="679"/>
      <c r="D353" s="679"/>
      <c r="E353" s="679"/>
      <c r="F353" s="679"/>
      <c r="G353" s="679"/>
      <c r="H353" s="679"/>
      <c r="I353" s="679"/>
      <c r="J353" s="679"/>
      <c r="K353" s="679"/>
      <c r="L353" s="679"/>
      <c r="M353" s="679"/>
    </row>
    <row r="354" spans="1:13" ht="12.75">
      <c r="A354" s="678"/>
      <c r="B354" s="679"/>
      <c r="C354" s="679"/>
      <c r="D354" s="679"/>
      <c r="E354" s="679"/>
      <c r="F354" s="679"/>
      <c r="G354" s="679"/>
      <c r="H354" s="679"/>
      <c r="I354" s="679"/>
      <c r="J354" s="679"/>
      <c r="K354" s="679"/>
      <c r="L354" s="679"/>
      <c r="M354" s="679"/>
    </row>
    <row r="355" spans="1:13" ht="12.75">
      <c r="A355" s="678"/>
      <c r="B355" s="679"/>
      <c r="C355" s="679"/>
      <c r="D355" s="679"/>
      <c r="E355" s="679"/>
      <c r="F355" s="679"/>
      <c r="G355" s="679"/>
      <c r="H355" s="679"/>
      <c r="I355" s="679"/>
      <c r="J355" s="679"/>
      <c r="K355" s="679"/>
      <c r="L355" s="679"/>
      <c r="M355" s="679"/>
    </row>
    <row r="356" spans="1:13" ht="12.75">
      <c r="A356" s="678"/>
      <c r="B356" s="679"/>
      <c r="C356" s="679"/>
      <c r="D356" s="679"/>
      <c r="E356" s="679"/>
      <c r="F356" s="679"/>
      <c r="G356" s="679"/>
      <c r="H356" s="679"/>
      <c r="I356" s="679"/>
      <c r="J356" s="679"/>
      <c r="K356" s="679"/>
      <c r="L356" s="679"/>
      <c r="M356" s="679"/>
    </row>
    <row r="357" spans="1:13" ht="12.75">
      <c r="A357" s="678"/>
      <c r="B357" s="679"/>
      <c r="C357" s="679"/>
      <c r="D357" s="679"/>
      <c r="E357" s="679"/>
      <c r="F357" s="679"/>
      <c r="G357" s="679"/>
      <c r="H357" s="679"/>
      <c r="I357" s="679"/>
      <c r="J357" s="679"/>
      <c r="K357" s="679"/>
      <c r="L357" s="679"/>
      <c r="M357" s="679"/>
    </row>
    <row r="358" spans="1:13" ht="12.75">
      <c r="A358" s="678"/>
      <c r="B358" s="679"/>
      <c r="C358" s="679"/>
      <c r="D358" s="679"/>
      <c r="E358" s="679"/>
      <c r="F358" s="679"/>
      <c r="G358" s="679"/>
      <c r="H358" s="679"/>
      <c r="I358" s="679"/>
      <c r="J358" s="679"/>
      <c r="K358" s="679"/>
      <c r="L358" s="679"/>
      <c r="M358" s="679"/>
    </row>
    <row r="359" spans="1:13" ht="12.75">
      <c r="A359" s="678"/>
      <c r="B359" s="679"/>
      <c r="C359" s="679"/>
      <c r="D359" s="679"/>
      <c r="E359" s="679"/>
      <c r="F359" s="679"/>
      <c r="G359" s="679"/>
      <c r="H359" s="679"/>
      <c r="I359" s="679"/>
      <c r="J359" s="679"/>
      <c r="K359" s="679"/>
      <c r="L359" s="679"/>
      <c r="M359" s="679"/>
    </row>
    <row r="360" spans="1:13" ht="12.75">
      <c r="A360" s="678"/>
      <c r="B360" s="679"/>
      <c r="C360" s="679"/>
      <c r="D360" s="679"/>
      <c r="E360" s="679"/>
      <c r="F360" s="679"/>
      <c r="G360" s="679"/>
      <c r="H360" s="679"/>
      <c r="I360" s="679"/>
      <c r="J360" s="679"/>
      <c r="K360" s="679"/>
      <c r="L360" s="679"/>
      <c r="M360" s="679"/>
    </row>
    <row r="361" spans="1:13" ht="12.75">
      <c r="A361" s="678"/>
      <c r="B361" s="679"/>
      <c r="C361" s="679"/>
      <c r="D361" s="679"/>
      <c r="E361" s="679"/>
      <c r="F361" s="679"/>
      <c r="G361" s="679"/>
      <c r="H361" s="679"/>
      <c r="I361" s="679"/>
      <c r="J361" s="679"/>
      <c r="K361" s="679"/>
      <c r="L361" s="679"/>
      <c r="M361" s="679"/>
    </row>
    <row r="362" spans="1:13" ht="12.75">
      <c r="A362" s="678"/>
      <c r="B362" s="679"/>
      <c r="C362" s="679"/>
      <c r="D362" s="679"/>
      <c r="E362" s="679"/>
      <c r="F362" s="679"/>
      <c r="G362" s="679"/>
      <c r="H362" s="679"/>
      <c r="I362" s="679"/>
      <c r="J362" s="679"/>
      <c r="K362" s="679"/>
      <c r="L362" s="679"/>
      <c r="M362" s="679"/>
    </row>
    <row r="363" spans="1:13" ht="12.75">
      <c r="A363" s="678"/>
      <c r="B363" s="679"/>
      <c r="C363" s="679"/>
      <c r="D363" s="679"/>
      <c r="E363" s="679"/>
      <c r="F363" s="679"/>
      <c r="G363" s="679"/>
      <c r="H363" s="679"/>
      <c r="I363" s="679"/>
      <c r="J363" s="679"/>
      <c r="K363" s="679"/>
      <c r="L363" s="679"/>
      <c r="M363" s="679"/>
    </row>
    <row r="364" spans="1:13" ht="12.75">
      <c r="A364" s="678"/>
      <c r="B364" s="679"/>
      <c r="C364" s="679"/>
      <c r="D364" s="679"/>
      <c r="E364" s="679"/>
      <c r="F364" s="679"/>
      <c r="G364" s="679"/>
      <c r="H364" s="679"/>
      <c r="I364" s="679"/>
      <c r="J364" s="679"/>
      <c r="K364" s="679"/>
      <c r="L364" s="679"/>
      <c r="M364" s="679"/>
    </row>
    <row r="365" spans="1:13" ht="12.75">
      <c r="A365" s="678"/>
      <c r="B365" s="679"/>
      <c r="C365" s="679"/>
      <c r="D365" s="679"/>
      <c r="E365" s="679"/>
      <c r="F365" s="679"/>
      <c r="G365" s="679"/>
      <c r="H365" s="679"/>
      <c r="I365" s="679"/>
      <c r="J365" s="679"/>
      <c r="K365" s="679"/>
      <c r="L365" s="679"/>
      <c r="M365" s="679"/>
    </row>
    <row r="366" spans="1:13" ht="12.75">
      <c r="A366" s="678"/>
      <c r="B366" s="679"/>
      <c r="C366" s="679"/>
      <c r="D366" s="679"/>
      <c r="E366" s="679"/>
      <c r="F366" s="679"/>
      <c r="G366" s="679"/>
      <c r="H366" s="679"/>
      <c r="I366" s="679"/>
      <c r="J366" s="679"/>
      <c r="K366" s="679"/>
      <c r="L366" s="679"/>
      <c r="M366" s="679"/>
    </row>
    <row r="367" spans="1:13" ht="12.75">
      <c r="A367" s="678"/>
      <c r="B367" s="679"/>
      <c r="C367" s="679"/>
      <c r="D367" s="679"/>
      <c r="E367" s="679"/>
      <c r="F367" s="679"/>
      <c r="G367" s="679"/>
      <c r="H367" s="679"/>
      <c r="I367" s="679"/>
      <c r="J367" s="679"/>
      <c r="K367" s="679"/>
      <c r="L367" s="679"/>
      <c r="M367" s="679"/>
    </row>
    <row r="368" spans="1:13" ht="12.75">
      <c r="A368" s="678"/>
      <c r="B368" s="679"/>
      <c r="C368" s="679"/>
      <c r="D368" s="679"/>
      <c r="E368" s="679"/>
      <c r="F368" s="679"/>
      <c r="G368" s="679"/>
      <c r="H368" s="679"/>
      <c r="I368" s="679"/>
      <c r="J368" s="679"/>
      <c r="K368" s="679"/>
      <c r="L368" s="679"/>
      <c r="M368" s="679"/>
    </row>
    <row r="369" spans="1:13" ht="12.75">
      <c r="A369" s="678"/>
      <c r="B369" s="679"/>
      <c r="C369" s="679"/>
      <c r="D369" s="679"/>
      <c r="E369" s="679"/>
      <c r="F369" s="679"/>
      <c r="G369" s="679"/>
      <c r="H369" s="679"/>
      <c r="I369" s="679"/>
      <c r="J369" s="679"/>
      <c r="K369" s="679"/>
      <c r="L369" s="679"/>
      <c r="M369" s="679"/>
    </row>
    <row r="370" spans="1:13" ht="12.75">
      <c r="A370" s="678"/>
      <c r="B370" s="679"/>
      <c r="C370" s="679"/>
      <c r="D370" s="679"/>
      <c r="E370" s="679"/>
      <c r="F370" s="679"/>
      <c r="G370" s="679"/>
      <c r="H370" s="679"/>
      <c r="I370" s="679"/>
      <c r="J370" s="679"/>
      <c r="K370" s="679"/>
      <c r="L370" s="679"/>
      <c r="M370" s="679"/>
    </row>
    <row r="371" spans="1:13" ht="12.75">
      <c r="A371" s="678"/>
      <c r="B371" s="679"/>
      <c r="C371" s="679"/>
      <c r="D371" s="679"/>
      <c r="E371" s="679"/>
      <c r="F371" s="679"/>
      <c r="G371" s="679"/>
      <c r="H371" s="679"/>
      <c r="I371" s="679"/>
      <c r="J371" s="679"/>
      <c r="K371" s="679"/>
      <c r="L371" s="679"/>
      <c r="M371" s="679"/>
    </row>
    <row r="372" spans="1:13" ht="12.75">
      <c r="A372" s="678"/>
      <c r="B372" s="679"/>
      <c r="C372" s="679"/>
      <c r="D372" s="679"/>
      <c r="E372" s="679"/>
      <c r="F372" s="679"/>
      <c r="G372" s="679"/>
      <c r="H372" s="679"/>
      <c r="I372" s="679"/>
      <c r="J372" s="679"/>
      <c r="K372" s="679"/>
      <c r="L372" s="679"/>
      <c r="M372" s="679"/>
    </row>
    <row r="373" spans="1:13" ht="12.75">
      <c r="A373" s="678"/>
      <c r="B373" s="679"/>
      <c r="C373" s="679"/>
      <c r="D373" s="679"/>
      <c r="E373" s="679"/>
      <c r="F373" s="679"/>
      <c r="G373" s="679"/>
      <c r="H373" s="679"/>
      <c r="I373" s="679"/>
      <c r="J373" s="679"/>
      <c r="K373" s="679"/>
      <c r="L373" s="679"/>
      <c r="M373" s="679"/>
    </row>
    <row r="374" spans="1:13" ht="12.75">
      <c r="A374" s="678"/>
      <c r="B374" s="679"/>
      <c r="C374" s="679"/>
      <c r="D374" s="679"/>
      <c r="E374" s="679"/>
      <c r="F374" s="679"/>
      <c r="G374" s="679"/>
      <c r="H374" s="679"/>
      <c r="I374" s="679"/>
      <c r="J374" s="679"/>
      <c r="K374" s="679"/>
      <c r="L374" s="679"/>
      <c r="M374" s="679"/>
    </row>
    <row r="375" spans="1:13" ht="12.75">
      <c r="A375" s="678"/>
      <c r="B375" s="679"/>
      <c r="C375" s="679"/>
      <c r="D375" s="679"/>
      <c r="E375" s="679"/>
      <c r="F375" s="679"/>
      <c r="G375" s="679"/>
      <c r="H375" s="679"/>
      <c r="I375" s="679"/>
      <c r="J375" s="679"/>
      <c r="K375" s="679"/>
      <c r="L375" s="679"/>
      <c r="M375" s="679"/>
    </row>
    <row r="376" spans="1:13" ht="12.75">
      <c r="A376" s="678"/>
      <c r="B376" s="679"/>
      <c r="C376" s="679"/>
      <c r="D376" s="679"/>
      <c r="E376" s="679"/>
      <c r="F376" s="679"/>
      <c r="G376" s="679"/>
      <c r="H376" s="679"/>
      <c r="I376" s="679"/>
      <c r="J376" s="679"/>
      <c r="K376" s="679"/>
      <c r="L376" s="679"/>
      <c r="M376" s="679"/>
    </row>
    <row r="377" spans="1:13" ht="12.75">
      <c r="A377" s="678"/>
      <c r="B377" s="679"/>
      <c r="C377" s="679"/>
      <c r="D377" s="679"/>
      <c r="E377" s="679"/>
      <c r="F377" s="679"/>
      <c r="G377" s="679"/>
      <c r="H377" s="679"/>
      <c r="I377" s="679"/>
      <c r="J377" s="679"/>
      <c r="K377" s="679"/>
      <c r="L377" s="679"/>
      <c r="M377" s="679"/>
    </row>
    <row r="378" spans="1:13" ht="12.75">
      <c r="A378" s="678"/>
      <c r="B378" s="679"/>
      <c r="C378" s="679"/>
      <c r="D378" s="679"/>
      <c r="E378" s="679"/>
      <c r="F378" s="679"/>
      <c r="G378" s="679"/>
      <c r="H378" s="679"/>
      <c r="I378" s="679"/>
      <c r="J378" s="679"/>
      <c r="K378" s="679"/>
      <c r="L378" s="679"/>
      <c r="M378" s="679"/>
    </row>
    <row r="379" spans="1:13" ht="12.75">
      <c r="A379" s="678"/>
      <c r="B379" s="679"/>
      <c r="C379" s="679"/>
      <c r="D379" s="679"/>
      <c r="E379" s="679"/>
      <c r="F379" s="679"/>
      <c r="G379" s="679"/>
      <c r="H379" s="679"/>
      <c r="I379" s="679"/>
      <c r="J379" s="679"/>
      <c r="K379" s="679"/>
      <c r="L379" s="679"/>
      <c r="M379" s="679"/>
    </row>
    <row r="380" spans="1:13" ht="12.75">
      <c r="A380" s="678"/>
      <c r="B380" s="679"/>
      <c r="C380" s="679"/>
      <c r="D380" s="679"/>
      <c r="E380" s="679"/>
      <c r="F380" s="679"/>
      <c r="G380" s="679"/>
      <c r="H380" s="679"/>
      <c r="I380" s="679"/>
      <c r="J380" s="679"/>
      <c r="K380" s="679"/>
      <c r="L380" s="679"/>
      <c r="M380" s="679"/>
    </row>
    <row r="381" spans="1:13" ht="12.75">
      <c r="A381" s="678"/>
      <c r="B381" s="679"/>
      <c r="C381" s="679"/>
      <c r="D381" s="679"/>
      <c r="E381" s="679"/>
      <c r="F381" s="679"/>
      <c r="G381" s="679"/>
      <c r="H381" s="679"/>
      <c r="I381" s="679"/>
      <c r="J381" s="679"/>
      <c r="K381" s="679"/>
      <c r="L381" s="679"/>
      <c r="M381" s="679"/>
    </row>
    <row r="382" spans="1:13" ht="12.75">
      <c r="A382" s="678"/>
      <c r="B382" s="679"/>
      <c r="C382" s="679"/>
      <c r="D382" s="679"/>
      <c r="E382" s="679"/>
      <c r="F382" s="679"/>
      <c r="G382" s="679"/>
      <c r="H382" s="679"/>
      <c r="I382" s="679"/>
      <c r="J382" s="679"/>
      <c r="K382" s="679"/>
      <c r="L382" s="679"/>
      <c r="M382" s="679"/>
    </row>
    <row r="383" spans="1:13" ht="12.75">
      <c r="A383" s="678"/>
      <c r="B383" s="679"/>
      <c r="C383" s="679"/>
      <c r="D383" s="679"/>
      <c r="E383" s="679"/>
      <c r="F383" s="679"/>
      <c r="G383" s="679"/>
      <c r="H383" s="679"/>
      <c r="I383" s="679"/>
      <c r="J383" s="679"/>
      <c r="K383" s="679"/>
      <c r="L383" s="679"/>
      <c r="M383" s="679"/>
    </row>
    <row r="384" spans="1:13" ht="12.75">
      <c r="A384" s="678"/>
      <c r="B384" s="679"/>
      <c r="C384" s="679"/>
      <c r="D384" s="679"/>
      <c r="E384" s="679"/>
      <c r="F384" s="679"/>
      <c r="G384" s="679"/>
      <c r="H384" s="679"/>
      <c r="I384" s="679"/>
      <c r="J384" s="679"/>
      <c r="K384" s="679"/>
      <c r="L384" s="679"/>
      <c r="M384" s="679"/>
    </row>
    <row r="385" spans="1:13" ht="12.75">
      <c r="A385" s="678"/>
      <c r="B385" s="679"/>
      <c r="C385" s="679"/>
      <c r="D385" s="679"/>
      <c r="E385" s="679"/>
      <c r="F385" s="679"/>
      <c r="G385" s="679"/>
      <c r="H385" s="679"/>
      <c r="I385" s="679"/>
      <c r="J385" s="679"/>
      <c r="K385" s="679"/>
      <c r="L385" s="679"/>
      <c r="M385" s="679"/>
    </row>
    <row r="386" spans="1:13" ht="12.75">
      <c r="A386" s="678"/>
      <c r="B386" s="679"/>
      <c r="C386" s="679"/>
      <c r="D386" s="679"/>
      <c r="E386" s="679"/>
      <c r="F386" s="679"/>
      <c r="G386" s="679"/>
      <c r="H386" s="679"/>
      <c r="I386" s="679"/>
      <c r="J386" s="679"/>
      <c r="K386" s="679"/>
      <c r="L386" s="679"/>
      <c r="M386" s="679"/>
    </row>
    <row r="387" spans="1:13" ht="12.75">
      <c r="A387" s="678"/>
      <c r="B387" s="679"/>
      <c r="C387" s="679"/>
      <c r="D387" s="679"/>
      <c r="E387" s="679"/>
      <c r="F387" s="679"/>
      <c r="G387" s="679"/>
      <c r="H387" s="679"/>
      <c r="I387" s="679"/>
      <c r="J387" s="679"/>
      <c r="K387" s="679"/>
      <c r="L387" s="679"/>
      <c r="M387" s="679"/>
    </row>
    <row r="388" spans="1:13" ht="12.75">
      <c r="A388" s="678"/>
      <c r="B388" s="679"/>
      <c r="C388" s="679"/>
      <c r="D388" s="679"/>
      <c r="E388" s="679"/>
      <c r="F388" s="679"/>
      <c r="G388" s="679"/>
      <c r="H388" s="679"/>
      <c r="I388" s="679"/>
      <c r="J388" s="679"/>
      <c r="K388" s="679"/>
      <c r="L388" s="679"/>
      <c r="M388" s="679"/>
    </row>
    <row r="389" spans="1:13" ht="12.75">
      <c r="A389" s="678"/>
      <c r="B389" s="679"/>
      <c r="C389" s="679"/>
      <c r="D389" s="679"/>
      <c r="E389" s="679"/>
      <c r="F389" s="679"/>
      <c r="G389" s="679"/>
      <c r="H389" s="679"/>
      <c r="I389" s="679"/>
      <c r="J389" s="679"/>
      <c r="K389" s="679"/>
      <c r="L389" s="679"/>
      <c r="M389" s="679"/>
    </row>
    <row r="390" spans="1:13" ht="12.75">
      <c r="A390" s="678"/>
      <c r="B390" s="679"/>
      <c r="C390" s="679"/>
      <c r="D390" s="679"/>
      <c r="E390" s="679"/>
      <c r="F390" s="679"/>
      <c r="G390" s="679"/>
      <c r="H390" s="679"/>
      <c r="I390" s="679"/>
      <c r="J390" s="679"/>
      <c r="K390" s="679"/>
      <c r="L390" s="679"/>
      <c r="M390" s="679"/>
    </row>
    <row r="391" spans="1:13" ht="12.75">
      <c r="A391" s="678"/>
      <c r="B391" s="679"/>
      <c r="C391" s="679"/>
      <c r="D391" s="679"/>
      <c r="E391" s="679"/>
      <c r="F391" s="679"/>
      <c r="G391" s="679"/>
      <c r="H391" s="679"/>
      <c r="I391" s="679"/>
      <c r="J391" s="679"/>
      <c r="K391" s="679"/>
      <c r="L391" s="679"/>
      <c r="M391" s="679"/>
    </row>
    <row r="392" spans="1:13" ht="12.75">
      <c r="A392" s="678"/>
      <c r="B392" s="679"/>
      <c r="C392" s="679"/>
      <c r="D392" s="679"/>
      <c r="E392" s="679"/>
      <c r="F392" s="679"/>
      <c r="G392" s="679"/>
      <c r="H392" s="679"/>
      <c r="I392" s="679"/>
      <c r="J392" s="679"/>
      <c r="K392" s="679"/>
      <c r="L392" s="679"/>
      <c r="M392" s="679"/>
    </row>
    <row r="393" spans="1:13" ht="12.75">
      <c r="A393" s="678"/>
      <c r="B393" s="679"/>
      <c r="C393" s="679"/>
      <c r="D393" s="679"/>
      <c r="E393" s="679"/>
      <c r="F393" s="679"/>
      <c r="G393" s="679"/>
      <c r="H393" s="679"/>
      <c r="I393" s="679"/>
      <c r="J393" s="679"/>
      <c r="K393" s="679"/>
      <c r="L393" s="679"/>
      <c r="M393" s="679"/>
    </row>
    <row r="394" spans="1:13" ht="12.75">
      <c r="A394" s="678"/>
      <c r="B394" s="679"/>
      <c r="C394" s="679"/>
      <c r="D394" s="679"/>
      <c r="E394" s="679"/>
      <c r="F394" s="679"/>
      <c r="G394" s="679"/>
      <c r="H394" s="679"/>
      <c r="I394" s="679"/>
      <c r="J394" s="679"/>
      <c r="K394" s="679"/>
      <c r="L394" s="679"/>
      <c r="M394" s="679"/>
    </row>
    <row r="395" spans="1:13" ht="12.75">
      <c r="A395" s="678"/>
      <c r="B395" s="679"/>
      <c r="C395" s="679"/>
      <c r="D395" s="679"/>
      <c r="E395" s="679"/>
      <c r="F395" s="679"/>
      <c r="G395" s="679"/>
      <c r="H395" s="679"/>
      <c r="I395" s="679"/>
      <c r="J395" s="679"/>
      <c r="K395" s="679"/>
      <c r="L395" s="679"/>
      <c r="M395" s="679"/>
    </row>
    <row r="396" spans="1:13" ht="12.75">
      <c r="A396" s="678"/>
      <c r="B396" s="679"/>
      <c r="C396" s="679"/>
      <c r="D396" s="679"/>
      <c r="E396" s="679"/>
      <c r="F396" s="679"/>
      <c r="G396" s="679"/>
      <c r="H396" s="679"/>
      <c r="I396" s="679"/>
      <c r="J396" s="679"/>
      <c r="K396" s="679"/>
      <c r="L396" s="679"/>
      <c r="M396" s="679"/>
    </row>
    <row r="397" spans="1:13" ht="12.75">
      <c r="A397" s="678"/>
      <c r="B397" s="679"/>
      <c r="C397" s="679"/>
      <c r="D397" s="679"/>
      <c r="E397" s="679"/>
      <c r="F397" s="679"/>
      <c r="G397" s="679"/>
      <c r="H397" s="679"/>
      <c r="I397" s="679"/>
      <c r="J397" s="679"/>
      <c r="K397" s="679"/>
      <c r="L397" s="679"/>
      <c r="M397" s="679"/>
    </row>
    <row r="398" spans="1:13" ht="12.75">
      <c r="A398" s="678"/>
      <c r="B398" s="679"/>
      <c r="C398" s="679"/>
      <c r="D398" s="679"/>
      <c r="E398" s="679"/>
      <c r="F398" s="679"/>
      <c r="G398" s="679"/>
      <c r="H398" s="679"/>
      <c r="I398" s="679"/>
      <c r="J398" s="679"/>
      <c r="K398" s="679"/>
      <c r="L398" s="679"/>
      <c r="M398" s="679"/>
    </row>
    <row r="399" spans="1:13" ht="12.75">
      <c r="A399" s="678"/>
      <c r="B399" s="679"/>
      <c r="C399" s="679"/>
      <c r="D399" s="679"/>
      <c r="E399" s="679"/>
      <c r="F399" s="679"/>
      <c r="G399" s="679"/>
      <c r="H399" s="679"/>
      <c r="I399" s="679"/>
      <c r="J399" s="679"/>
      <c r="K399" s="679"/>
      <c r="L399" s="679"/>
      <c r="M399" s="679"/>
    </row>
    <row r="400" spans="1:13" ht="12.75">
      <c r="A400" s="678"/>
      <c r="B400" s="679"/>
      <c r="C400" s="679"/>
      <c r="D400" s="679"/>
      <c r="E400" s="679"/>
      <c r="F400" s="679"/>
      <c r="G400" s="679"/>
      <c r="H400" s="679"/>
      <c r="I400" s="679"/>
      <c r="J400" s="679"/>
      <c r="K400" s="679"/>
      <c r="L400" s="679"/>
      <c r="M400" s="679"/>
    </row>
    <row r="401" spans="1:13" ht="12.75">
      <c r="A401" s="678"/>
      <c r="B401" s="679"/>
      <c r="C401" s="679"/>
      <c r="D401" s="679"/>
      <c r="E401" s="679"/>
      <c r="F401" s="679"/>
      <c r="G401" s="679"/>
      <c r="H401" s="679"/>
      <c r="I401" s="679"/>
      <c r="J401" s="679"/>
      <c r="K401" s="679"/>
      <c r="L401" s="679"/>
      <c r="M401" s="679"/>
    </row>
    <row r="402" spans="1:13" ht="12.75">
      <c r="A402" s="678"/>
      <c r="B402" s="679"/>
      <c r="C402" s="679"/>
      <c r="D402" s="679"/>
      <c r="E402" s="679"/>
      <c r="F402" s="679"/>
      <c r="G402" s="679"/>
      <c r="H402" s="679"/>
      <c r="I402" s="679"/>
      <c r="J402" s="679"/>
      <c r="K402" s="679"/>
      <c r="L402" s="679"/>
      <c r="M402" s="679"/>
    </row>
    <row r="403" spans="1:13" ht="12.75">
      <c r="A403" s="678"/>
      <c r="B403" s="679"/>
      <c r="C403" s="679"/>
      <c r="D403" s="679"/>
      <c r="E403" s="679"/>
      <c r="F403" s="679"/>
      <c r="G403" s="679"/>
      <c r="H403" s="679"/>
      <c r="I403" s="679"/>
      <c r="J403" s="679"/>
      <c r="K403" s="679"/>
      <c r="L403" s="679"/>
      <c r="M403" s="679"/>
    </row>
    <row r="404" spans="1:13" ht="12.75">
      <c r="A404" s="678"/>
      <c r="B404" s="679"/>
      <c r="C404" s="679"/>
      <c r="D404" s="679"/>
      <c r="E404" s="679"/>
      <c r="F404" s="679"/>
      <c r="G404" s="679"/>
      <c r="H404" s="679"/>
      <c r="I404" s="679"/>
      <c r="J404" s="679"/>
      <c r="K404" s="679"/>
      <c r="L404" s="679"/>
      <c r="M404" s="679"/>
    </row>
    <row r="405" spans="1:13" ht="12.75">
      <c r="A405" s="678"/>
      <c r="B405" s="679"/>
      <c r="C405" s="679"/>
      <c r="D405" s="679"/>
      <c r="E405" s="679"/>
      <c r="F405" s="679"/>
      <c r="G405" s="679"/>
      <c r="H405" s="679"/>
      <c r="I405" s="679"/>
      <c r="J405" s="679"/>
      <c r="K405" s="679"/>
      <c r="L405" s="679"/>
      <c r="M405" s="679"/>
    </row>
    <row r="406" spans="1:13" ht="12.75">
      <c r="A406" s="678"/>
      <c r="B406" s="679"/>
      <c r="C406" s="679"/>
      <c r="D406" s="679"/>
      <c r="E406" s="679"/>
      <c r="F406" s="679"/>
      <c r="G406" s="679"/>
      <c r="H406" s="679"/>
      <c r="I406" s="679"/>
      <c r="J406" s="679"/>
      <c r="K406" s="679"/>
      <c r="L406" s="679"/>
      <c r="M406" s="679"/>
    </row>
    <row r="407" spans="1:13" ht="12.75">
      <c r="A407" s="678"/>
      <c r="B407" s="679"/>
      <c r="C407" s="679"/>
      <c r="D407" s="679"/>
      <c r="E407" s="679"/>
      <c r="F407" s="679"/>
      <c r="G407" s="679"/>
      <c r="H407" s="679"/>
      <c r="I407" s="679"/>
      <c r="J407" s="679"/>
      <c r="K407" s="679"/>
      <c r="L407" s="679"/>
      <c r="M407" s="679"/>
    </row>
    <row r="408" spans="1:13" ht="12.75">
      <c r="A408" s="678"/>
      <c r="B408" s="679"/>
      <c r="C408" s="679"/>
      <c r="D408" s="679"/>
      <c r="E408" s="679"/>
      <c r="F408" s="679"/>
      <c r="G408" s="679"/>
      <c r="H408" s="679"/>
      <c r="I408" s="679"/>
      <c r="J408" s="679"/>
      <c r="K408" s="679"/>
      <c r="L408" s="679"/>
      <c r="M408" s="679"/>
    </row>
    <row r="409" spans="1:13" ht="12.75">
      <c r="A409" s="678"/>
      <c r="B409" s="679"/>
      <c r="C409" s="679"/>
      <c r="D409" s="679"/>
      <c r="E409" s="679"/>
      <c r="F409" s="679"/>
      <c r="G409" s="679"/>
      <c r="H409" s="679"/>
      <c r="I409" s="679"/>
      <c r="J409" s="679"/>
      <c r="K409" s="679"/>
      <c r="L409" s="679"/>
      <c r="M409" s="679"/>
    </row>
    <row r="410" spans="1:13" ht="12.75">
      <c r="A410" s="678"/>
      <c r="B410" s="679"/>
      <c r="C410" s="679"/>
      <c r="D410" s="679"/>
      <c r="E410" s="679"/>
      <c r="F410" s="679"/>
      <c r="G410" s="679"/>
      <c r="H410" s="679"/>
      <c r="I410" s="679"/>
      <c r="J410" s="679"/>
      <c r="K410" s="679"/>
      <c r="L410" s="679"/>
      <c r="M410" s="679"/>
    </row>
    <row r="411" spans="1:13" ht="12.75">
      <c r="A411" s="678"/>
      <c r="B411" s="679"/>
      <c r="C411" s="679"/>
      <c r="D411" s="679"/>
      <c r="E411" s="679"/>
      <c r="F411" s="679"/>
      <c r="G411" s="679"/>
      <c r="H411" s="679"/>
      <c r="I411" s="679"/>
      <c r="J411" s="679"/>
      <c r="K411" s="679"/>
      <c r="L411" s="679"/>
      <c r="M411" s="679"/>
    </row>
    <row r="412" spans="1:13" ht="12.75">
      <c r="A412" s="678"/>
      <c r="B412" s="679"/>
      <c r="C412" s="679"/>
      <c r="D412" s="679"/>
      <c r="E412" s="679"/>
      <c r="F412" s="679"/>
      <c r="G412" s="679"/>
      <c r="H412" s="679"/>
      <c r="I412" s="679"/>
      <c r="J412" s="679"/>
      <c r="K412" s="679"/>
      <c r="L412" s="679"/>
      <c r="M412" s="679"/>
    </row>
    <row r="413" spans="1:13" ht="12.75">
      <c r="A413" s="678"/>
      <c r="B413" s="679"/>
      <c r="C413" s="679"/>
      <c r="D413" s="679"/>
      <c r="E413" s="679"/>
      <c r="F413" s="679"/>
      <c r="G413" s="679"/>
      <c r="H413" s="679"/>
      <c r="I413" s="679"/>
      <c r="J413" s="679"/>
      <c r="K413" s="679"/>
      <c r="L413" s="679"/>
      <c r="M413" s="679"/>
    </row>
    <row r="414" spans="1:13" ht="12.75">
      <c r="A414" s="678"/>
      <c r="B414" s="679"/>
      <c r="C414" s="679"/>
      <c r="D414" s="679"/>
      <c r="E414" s="679"/>
      <c r="F414" s="679"/>
      <c r="G414" s="679"/>
      <c r="H414" s="679"/>
      <c r="I414" s="679"/>
      <c r="J414" s="679"/>
      <c r="K414" s="679"/>
      <c r="L414" s="679"/>
      <c r="M414" s="679"/>
    </row>
    <row r="415" spans="1:13" ht="12.75">
      <c r="A415" s="678"/>
      <c r="B415" s="679"/>
      <c r="C415" s="679"/>
      <c r="D415" s="679"/>
      <c r="E415" s="679"/>
      <c r="F415" s="679"/>
      <c r="G415" s="679"/>
      <c r="H415" s="679"/>
      <c r="I415" s="679"/>
      <c r="J415" s="679"/>
      <c r="K415" s="679"/>
      <c r="L415" s="679"/>
      <c r="M415" s="679"/>
    </row>
    <row r="416" spans="1:13" ht="12.75">
      <c r="A416" s="678"/>
      <c r="B416" s="679"/>
      <c r="C416" s="679"/>
      <c r="D416" s="679"/>
      <c r="E416" s="679"/>
      <c r="F416" s="679"/>
      <c r="G416" s="679"/>
      <c r="H416" s="679"/>
      <c r="I416" s="679"/>
      <c r="J416" s="679"/>
      <c r="K416" s="679"/>
      <c r="L416" s="679"/>
      <c r="M416" s="679"/>
    </row>
    <row r="417" spans="1:13" ht="12.75">
      <c r="A417" s="678"/>
      <c r="B417" s="679"/>
      <c r="C417" s="679"/>
      <c r="D417" s="679"/>
      <c r="E417" s="679"/>
      <c r="F417" s="679"/>
      <c r="G417" s="679"/>
      <c r="H417" s="679"/>
      <c r="I417" s="679"/>
      <c r="J417" s="679"/>
      <c r="K417" s="679"/>
      <c r="L417" s="679"/>
      <c r="M417" s="679"/>
    </row>
    <row r="418" spans="1:13" ht="12.75">
      <c r="A418" s="678"/>
      <c r="B418" s="679"/>
      <c r="C418" s="679"/>
      <c r="D418" s="679"/>
      <c r="E418" s="679"/>
      <c r="F418" s="679"/>
      <c r="G418" s="679"/>
      <c r="H418" s="679"/>
      <c r="I418" s="679"/>
      <c r="J418" s="679"/>
      <c r="K418" s="679"/>
      <c r="L418" s="679"/>
      <c r="M418" s="679"/>
    </row>
    <row r="419" spans="1:13" ht="12.75">
      <c r="A419" s="678"/>
      <c r="B419" s="679"/>
      <c r="C419" s="679"/>
      <c r="D419" s="679"/>
      <c r="E419" s="679"/>
      <c r="F419" s="679"/>
      <c r="G419" s="679"/>
      <c r="H419" s="679"/>
      <c r="I419" s="679"/>
      <c r="J419" s="679"/>
      <c r="K419" s="679"/>
      <c r="L419" s="679"/>
      <c r="M419" s="679"/>
    </row>
    <row r="420" spans="1:13" ht="12.75">
      <c r="A420" s="678"/>
      <c r="B420" s="679"/>
      <c r="C420" s="679"/>
      <c r="D420" s="679"/>
      <c r="E420" s="679"/>
      <c r="F420" s="679"/>
      <c r="G420" s="679"/>
      <c r="H420" s="679"/>
      <c r="I420" s="679"/>
      <c r="J420" s="679"/>
      <c r="K420" s="679"/>
      <c r="L420" s="679"/>
      <c r="M420" s="679"/>
    </row>
    <row r="421" spans="1:13" ht="12.75">
      <c r="A421" s="678"/>
      <c r="B421" s="679"/>
      <c r="C421" s="679"/>
      <c r="D421" s="679"/>
      <c r="E421" s="679"/>
      <c r="F421" s="679"/>
      <c r="G421" s="679"/>
      <c r="H421" s="679"/>
      <c r="I421" s="679"/>
      <c r="J421" s="679"/>
      <c r="K421" s="679"/>
      <c r="L421" s="679"/>
      <c r="M421" s="679"/>
    </row>
    <row r="422" spans="1:13" ht="12.75">
      <c r="A422" s="678"/>
      <c r="B422" s="679"/>
      <c r="C422" s="679"/>
      <c r="D422" s="679"/>
      <c r="E422" s="679"/>
      <c r="F422" s="679"/>
      <c r="G422" s="679"/>
      <c r="H422" s="679"/>
      <c r="I422" s="679"/>
      <c r="J422" s="679"/>
      <c r="K422" s="679"/>
      <c r="L422" s="679"/>
      <c r="M422" s="679"/>
    </row>
    <row r="423" spans="1:13" ht="12.75">
      <c r="A423" s="678"/>
      <c r="B423" s="679"/>
      <c r="C423" s="679"/>
      <c r="D423" s="679"/>
      <c r="E423" s="679"/>
      <c r="F423" s="679"/>
      <c r="G423" s="679"/>
      <c r="H423" s="679"/>
      <c r="I423" s="679"/>
      <c r="J423" s="679"/>
      <c r="K423" s="679"/>
      <c r="L423" s="679"/>
      <c r="M423" s="679"/>
    </row>
    <row r="424" spans="1:13" ht="12.75">
      <c r="A424" s="678"/>
      <c r="B424" s="679"/>
      <c r="C424" s="679"/>
      <c r="D424" s="679"/>
      <c r="E424" s="679"/>
      <c r="F424" s="679"/>
      <c r="G424" s="679"/>
      <c r="H424" s="679"/>
      <c r="I424" s="679"/>
      <c r="J424" s="679"/>
      <c r="K424" s="679"/>
      <c r="L424" s="679"/>
      <c r="M424" s="679"/>
    </row>
    <row r="425" spans="1:13" ht="12.75">
      <c r="A425" s="678"/>
      <c r="B425" s="679"/>
      <c r="C425" s="679"/>
      <c r="D425" s="679"/>
      <c r="E425" s="679"/>
      <c r="F425" s="679"/>
      <c r="G425" s="679"/>
      <c r="H425" s="679"/>
      <c r="I425" s="679"/>
      <c r="J425" s="679"/>
      <c r="K425" s="679"/>
      <c r="L425" s="679"/>
      <c r="M425" s="679"/>
    </row>
    <row r="426" spans="1:13" ht="12.75">
      <c r="A426" s="678"/>
      <c r="B426" s="679"/>
      <c r="C426" s="679"/>
      <c r="D426" s="679"/>
      <c r="E426" s="679"/>
      <c r="F426" s="679"/>
      <c r="G426" s="679"/>
      <c r="H426" s="679"/>
      <c r="I426" s="679"/>
      <c r="J426" s="679"/>
      <c r="K426" s="679"/>
      <c r="L426" s="679"/>
      <c r="M426" s="679"/>
    </row>
    <row r="427" spans="1:13" ht="12.75">
      <c r="A427" s="678"/>
      <c r="B427" s="679"/>
      <c r="C427" s="679"/>
      <c r="D427" s="679"/>
      <c r="E427" s="679"/>
      <c r="F427" s="679"/>
      <c r="G427" s="679"/>
      <c r="H427" s="679"/>
      <c r="I427" s="679"/>
      <c r="J427" s="679"/>
      <c r="K427" s="679"/>
      <c r="L427" s="679"/>
      <c r="M427" s="679"/>
    </row>
    <row r="428" spans="1:13" ht="12.75">
      <c r="A428" s="678"/>
      <c r="B428" s="679"/>
      <c r="C428" s="679"/>
      <c r="D428" s="679"/>
      <c r="E428" s="679"/>
      <c r="F428" s="679"/>
      <c r="G428" s="679"/>
      <c r="H428" s="679"/>
      <c r="I428" s="679"/>
      <c r="J428" s="679"/>
      <c r="K428" s="679"/>
      <c r="L428" s="679"/>
      <c r="M428" s="679"/>
    </row>
    <row r="429" spans="1:13" ht="12.75">
      <c r="A429" s="678"/>
      <c r="B429" s="679"/>
      <c r="C429" s="679"/>
      <c r="D429" s="679"/>
      <c r="E429" s="679"/>
      <c r="F429" s="679"/>
      <c r="G429" s="679"/>
      <c r="H429" s="679"/>
      <c r="I429" s="679"/>
      <c r="J429" s="679"/>
      <c r="K429" s="679"/>
      <c r="L429" s="679"/>
      <c r="M429" s="679"/>
    </row>
    <row r="430" spans="1:13" ht="12.75">
      <c r="A430" s="678"/>
      <c r="B430" s="679"/>
      <c r="C430" s="679"/>
      <c r="D430" s="679"/>
      <c r="E430" s="679"/>
      <c r="F430" s="679"/>
      <c r="G430" s="679"/>
      <c r="H430" s="679"/>
      <c r="I430" s="679"/>
      <c r="J430" s="679"/>
      <c r="K430" s="679"/>
      <c r="L430" s="679"/>
      <c r="M430" s="679"/>
    </row>
    <row r="431" spans="1:13" ht="12.75">
      <c r="A431" s="678"/>
      <c r="B431" s="679"/>
      <c r="C431" s="679"/>
      <c r="D431" s="679"/>
      <c r="E431" s="679"/>
      <c r="F431" s="679"/>
      <c r="G431" s="679"/>
      <c r="H431" s="679"/>
      <c r="I431" s="679"/>
      <c r="J431" s="679"/>
      <c r="K431" s="679"/>
      <c r="L431" s="679"/>
      <c r="M431" s="679"/>
    </row>
    <row r="432" spans="1:13" ht="12.75">
      <c r="A432" s="678"/>
      <c r="B432" s="679"/>
      <c r="C432" s="679"/>
      <c r="D432" s="679"/>
      <c r="E432" s="679"/>
      <c r="F432" s="679"/>
      <c r="G432" s="679"/>
      <c r="H432" s="679"/>
      <c r="I432" s="679"/>
      <c r="J432" s="679"/>
      <c r="K432" s="679"/>
      <c r="L432" s="679"/>
      <c r="M432" s="679"/>
    </row>
    <row r="433" spans="1:13" ht="12.75">
      <c r="A433" s="678"/>
      <c r="B433" s="679"/>
      <c r="C433" s="679"/>
      <c r="D433" s="679"/>
      <c r="E433" s="679"/>
      <c r="F433" s="679"/>
      <c r="G433" s="679"/>
      <c r="H433" s="679"/>
      <c r="I433" s="679"/>
      <c r="J433" s="679"/>
      <c r="K433" s="679"/>
      <c r="L433" s="679"/>
      <c r="M433" s="679"/>
    </row>
    <row r="434" spans="1:13" ht="12.75">
      <c r="A434" s="678"/>
      <c r="B434" s="679"/>
      <c r="C434" s="679"/>
      <c r="D434" s="679"/>
      <c r="E434" s="679"/>
      <c r="F434" s="679"/>
      <c r="G434" s="679"/>
      <c r="H434" s="679"/>
      <c r="I434" s="679"/>
      <c r="J434" s="679"/>
      <c r="K434" s="679"/>
      <c r="L434" s="679"/>
      <c r="M434" s="679"/>
    </row>
    <row r="435" spans="1:13" ht="12.75">
      <c r="A435" s="678"/>
      <c r="B435" s="679"/>
      <c r="C435" s="679"/>
      <c r="D435" s="679"/>
      <c r="E435" s="679"/>
      <c r="F435" s="679"/>
      <c r="G435" s="679"/>
      <c r="H435" s="679"/>
      <c r="I435" s="679"/>
      <c r="J435" s="679"/>
      <c r="K435" s="679"/>
      <c r="L435" s="679"/>
      <c r="M435" s="679"/>
    </row>
    <row r="436" spans="1:13" ht="12.75">
      <c r="A436" s="678"/>
      <c r="B436" s="679"/>
      <c r="C436" s="679"/>
      <c r="D436" s="679"/>
      <c r="E436" s="679"/>
      <c r="F436" s="679"/>
      <c r="G436" s="679"/>
      <c r="H436" s="679"/>
      <c r="I436" s="679"/>
      <c r="J436" s="679"/>
      <c r="K436" s="679"/>
      <c r="L436" s="679"/>
      <c r="M436" s="679"/>
    </row>
    <row r="437" spans="1:13" ht="12.75">
      <c r="A437" s="678"/>
      <c r="B437" s="679"/>
      <c r="C437" s="679"/>
      <c r="D437" s="679"/>
      <c r="E437" s="679"/>
      <c r="F437" s="679"/>
      <c r="G437" s="679"/>
      <c r="H437" s="679"/>
      <c r="I437" s="679"/>
      <c r="J437" s="679"/>
      <c r="K437" s="679"/>
      <c r="L437" s="679"/>
      <c r="M437" s="679"/>
    </row>
    <row r="438" spans="1:13" ht="12.75">
      <c r="A438" s="678"/>
      <c r="B438" s="679"/>
      <c r="C438" s="679"/>
      <c r="D438" s="679"/>
      <c r="E438" s="679"/>
      <c r="F438" s="679"/>
      <c r="G438" s="679"/>
      <c r="H438" s="679"/>
      <c r="I438" s="679"/>
      <c r="J438" s="679"/>
      <c r="K438" s="679"/>
      <c r="L438" s="679"/>
      <c r="M438" s="679"/>
    </row>
    <row r="439" spans="1:13" ht="12.75">
      <c r="A439" s="678"/>
      <c r="B439" s="679"/>
      <c r="C439" s="679"/>
      <c r="D439" s="679"/>
      <c r="E439" s="679"/>
      <c r="F439" s="679"/>
      <c r="G439" s="679"/>
      <c r="H439" s="679"/>
      <c r="I439" s="679"/>
      <c r="J439" s="679"/>
      <c r="K439" s="679"/>
      <c r="L439" s="679"/>
      <c r="M439" s="679"/>
    </row>
    <row r="440" spans="1:13" ht="12.75">
      <c r="A440" s="678"/>
      <c r="B440" s="679"/>
      <c r="C440" s="679"/>
      <c r="D440" s="679"/>
      <c r="E440" s="679"/>
      <c r="F440" s="679"/>
      <c r="G440" s="679"/>
      <c r="H440" s="679"/>
      <c r="I440" s="679"/>
      <c r="J440" s="679"/>
      <c r="K440" s="679"/>
      <c r="L440" s="679"/>
      <c r="M440" s="679"/>
    </row>
    <row r="441" spans="1:13" ht="12.75">
      <c r="A441" s="678"/>
      <c r="B441" s="679"/>
      <c r="C441" s="679"/>
      <c r="D441" s="679"/>
      <c r="E441" s="679"/>
      <c r="F441" s="679"/>
      <c r="G441" s="679"/>
      <c r="H441" s="679"/>
      <c r="I441" s="679"/>
      <c r="J441" s="679"/>
      <c r="K441" s="679"/>
      <c r="L441" s="679"/>
      <c r="M441" s="679"/>
    </row>
    <row r="442" spans="1:13" ht="12.75">
      <c r="A442" s="678"/>
      <c r="B442" s="679"/>
      <c r="C442" s="679"/>
      <c r="D442" s="679"/>
      <c r="E442" s="679"/>
      <c r="F442" s="679"/>
      <c r="G442" s="679"/>
      <c r="H442" s="679"/>
      <c r="I442" s="679"/>
      <c r="J442" s="679"/>
      <c r="K442" s="679"/>
      <c r="L442" s="679"/>
      <c r="M442" s="679"/>
    </row>
    <row r="443" spans="1:13" ht="12.75">
      <c r="A443" s="678"/>
      <c r="B443" s="679"/>
      <c r="C443" s="679"/>
      <c r="D443" s="679"/>
      <c r="E443" s="679"/>
      <c r="F443" s="679"/>
      <c r="G443" s="679"/>
      <c r="H443" s="679"/>
      <c r="I443" s="679"/>
      <c r="J443" s="679"/>
      <c r="K443" s="679"/>
      <c r="L443" s="679"/>
      <c r="M443" s="679"/>
    </row>
    <row r="444" spans="1:13" ht="12.75">
      <c r="A444" s="678"/>
      <c r="B444" s="679"/>
      <c r="C444" s="679"/>
      <c r="D444" s="679"/>
      <c r="E444" s="679"/>
      <c r="F444" s="679"/>
      <c r="G444" s="679"/>
      <c r="H444" s="679"/>
      <c r="I444" s="679"/>
      <c r="J444" s="679"/>
      <c r="K444" s="679"/>
      <c r="L444" s="679"/>
      <c r="M444" s="679"/>
    </row>
    <row r="445" spans="1:13" ht="12.75">
      <c r="A445" s="678"/>
      <c r="B445" s="679"/>
      <c r="C445" s="679"/>
      <c r="D445" s="679"/>
      <c r="E445" s="679"/>
      <c r="F445" s="679"/>
      <c r="G445" s="679"/>
      <c r="H445" s="679"/>
      <c r="I445" s="679"/>
      <c r="J445" s="679"/>
      <c r="K445" s="679"/>
      <c r="L445" s="679"/>
      <c r="M445" s="679"/>
    </row>
    <row r="446" spans="1:13" ht="12.75">
      <c r="A446" s="678"/>
      <c r="B446" s="679"/>
      <c r="C446" s="679"/>
      <c r="D446" s="679"/>
      <c r="E446" s="679"/>
      <c r="F446" s="679"/>
      <c r="G446" s="679"/>
      <c r="H446" s="679"/>
      <c r="I446" s="679"/>
      <c r="J446" s="679"/>
      <c r="K446" s="679"/>
      <c r="L446" s="679"/>
      <c r="M446" s="679"/>
    </row>
    <row r="447" spans="1:13" ht="12.75">
      <c r="A447" s="678"/>
      <c r="B447" s="679"/>
      <c r="C447" s="679"/>
      <c r="D447" s="679"/>
      <c r="E447" s="679"/>
      <c r="F447" s="679"/>
      <c r="G447" s="679"/>
      <c r="H447" s="679"/>
      <c r="I447" s="679"/>
      <c r="J447" s="679"/>
      <c r="K447" s="679"/>
      <c r="L447" s="679"/>
      <c r="M447" s="679"/>
    </row>
    <row r="448" spans="1:13" ht="12.75">
      <c r="A448" s="678"/>
      <c r="B448" s="679"/>
      <c r="C448" s="679"/>
      <c r="D448" s="679"/>
      <c r="E448" s="679"/>
      <c r="F448" s="679"/>
      <c r="G448" s="679"/>
      <c r="H448" s="679"/>
      <c r="I448" s="679"/>
      <c r="J448" s="679"/>
      <c r="K448" s="679"/>
      <c r="L448" s="679"/>
      <c r="M448" s="679"/>
    </row>
    <row r="449" spans="1:13" ht="12.75">
      <c r="A449" s="678"/>
      <c r="B449" s="679"/>
      <c r="C449" s="679"/>
      <c r="D449" s="679"/>
      <c r="E449" s="679"/>
      <c r="F449" s="679"/>
      <c r="G449" s="679"/>
      <c r="H449" s="679"/>
      <c r="I449" s="679"/>
      <c r="J449" s="679"/>
      <c r="K449" s="679"/>
      <c r="L449" s="679"/>
      <c r="M449" s="679"/>
    </row>
    <row r="450" spans="1:13" ht="12.75">
      <c r="A450" s="678"/>
      <c r="B450" s="679"/>
      <c r="C450" s="679"/>
      <c r="D450" s="679"/>
      <c r="E450" s="679"/>
      <c r="F450" s="679"/>
      <c r="G450" s="679"/>
      <c r="H450" s="679"/>
      <c r="I450" s="679"/>
      <c r="J450" s="679"/>
      <c r="K450" s="679"/>
      <c r="L450" s="679"/>
      <c r="M450" s="679"/>
    </row>
    <row r="451" spans="1:13" ht="12.75">
      <c r="A451" s="678"/>
      <c r="B451" s="679"/>
      <c r="C451" s="679"/>
      <c r="D451" s="679"/>
      <c r="E451" s="679"/>
      <c r="F451" s="679"/>
      <c r="G451" s="679"/>
      <c r="H451" s="679"/>
      <c r="I451" s="679"/>
      <c r="J451" s="679"/>
      <c r="K451" s="679"/>
      <c r="L451" s="679"/>
      <c r="M451" s="679"/>
    </row>
    <row r="452" spans="1:13" ht="12.75">
      <c r="A452" s="678"/>
      <c r="B452" s="679"/>
      <c r="C452" s="679"/>
      <c r="D452" s="679"/>
      <c r="E452" s="679"/>
      <c r="F452" s="679"/>
      <c r="G452" s="679"/>
      <c r="H452" s="679"/>
      <c r="I452" s="679"/>
      <c r="J452" s="679"/>
      <c r="K452" s="679"/>
      <c r="L452" s="679"/>
      <c r="M452" s="679"/>
    </row>
    <row r="453" spans="1:13" ht="12.75">
      <c r="A453" s="678"/>
      <c r="B453" s="679"/>
      <c r="C453" s="679"/>
      <c r="D453" s="679"/>
      <c r="E453" s="679"/>
      <c r="F453" s="679"/>
      <c r="G453" s="679"/>
      <c r="H453" s="679"/>
      <c r="I453" s="679"/>
      <c r="J453" s="679"/>
      <c r="K453" s="679"/>
      <c r="L453" s="679"/>
      <c r="M453" s="679"/>
    </row>
    <row r="454" spans="1:13" ht="12.75">
      <c r="A454" s="678"/>
      <c r="B454" s="679"/>
      <c r="C454" s="679"/>
      <c r="D454" s="679"/>
      <c r="E454" s="679"/>
      <c r="F454" s="679"/>
      <c r="G454" s="679"/>
      <c r="H454" s="679"/>
      <c r="I454" s="679"/>
      <c r="J454" s="679"/>
      <c r="K454" s="679"/>
      <c r="L454" s="679"/>
      <c r="M454" s="679"/>
    </row>
    <row r="455" spans="1:13" ht="12.75">
      <c r="A455" s="678"/>
      <c r="B455" s="679"/>
      <c r="C455" s="679"/>
      <c r="D455" s="679"/>
      <c r="E455" s="679"/>
      <c r="F455" s="679"/>
      <c r="G455" s="679"/>
      <c r="H455" s="679"/>
      <c r="I455" s="679"/>
      <c r="J455" s="679"/>
      <c r="K455" s="679"/>
      <c r="L455" s="679"/>
      <c r="M455" s="679"/>
    </row>
    <row r="456" spans="1:13" ht="12.75">
      <c r="A456" s="678"/>
      <c r="B456" s="679"/>
      <c r="C456" s="679"/>
      <c r="D456" s="679"/>
      <c r="E456" s="679"/>
      <c r="F456" s="679"/>
      <c r="G456" s="679"/>
      <c r="H456" s="679"/>
      <c r="I456" s="679"/>
      <c r="J456" s="679"/>
      <c r="K456" s="679"/>
      <c r="L456" s="679"/>
      <c r="M456" s="679"/>
    </row>
    <row r="457" spans="1:13" ht="12.75">
      <c r="A457" s="678"/>
      <c r="B457" s="679"/>
      <c r="C457" s="679"/>
      <c r="D457" s="679"/>
      <c r="E457" s="679"/>
      <c r="F457" s="679"/>
      <c r="G457" s="679"/>
      <c r="H457" s="679"/>
      <c r="I457" s="679"/>
      <c r="J457" s="679"/>
      <c r="K457" s="679"/>
      <c r="L457" s="679"/>
      <c r="M457" s="679"/>
    </row>
    <row r="458" spans="1:13" ht="12.75">
      <c r="A458" s="678"/>
      <c r="B458" s="679"/>
      <c r="C458" s="679"/>
      <c r="D458" s="679"/>
      <c r="E458" s="679"/>
      <c r="F458" s="679"/>
      <c r="G458" s="679"/>
      <c r="H458" s="679"/>
      <c r="I458" s="679"/>
      <c r="J458" s="679"/>
      <c r="K458" s="679"/>
      <c r="L458" s="679"/>
      <c r="M458" s="679"/>
    </row>
    <row r="459" spans="1:13" ht="12.75">
      <c r="A459" s="678"/>
      <c r="B459" s="679"/>
      <c r="C459" s="679"/>
      <c r="D459" s="679"/>
      <c r="E459" s="679"/>
      <c r="F459" s="679"/>
      <c r="G459" s="679"/>
      <c r="H459" s="679"/>
      <c r="I459" s="679"/>
      <c r="J459" s="679"/>
      <c r="K459" s="679"/>
      <c r="L459" s="679"/>
      <c r="M459" s="679"/>
    </row>
    <row r="460" spans="1:13" ht="12.75">
      <c r="A460" s="678"/>
      <c r="B460" s="679"/>
      <c r="C460" s="679"/>
      <c r="D460" s="679"/>
      <c r="E460" s="679"/>
      <c r="F460" s="679"/>
      <c r="G460" s="679"/>
      <c r="H460" s="679"/>
      <c r="I460" s="679"/>
      <c r="J460" s="679"/>
      <c r="K460" s="679"/>
      <c r="L460" s="679"/>
      <c r="M460" s="679"/>
    </row>
    <row r="461" spans="1:13" ht="12.75">
      <c r="A461" s="678"/>
      <c r="B461" s="679"/>
      <c r="C461" s="679"/>
      <c r="D461" s="679"/>
      <c r="E461" s="679"/>
      <c r="F461" s="679"/>
      <c r="G461" s="679"/>
      <c r="H461" s="679"/>
      <c r="I461" s="679"/>
      <c r="J461" s="679"/>
      <c r="K461" s="679"/>
      <c r="L461" s="679"/>
      <c r="M461" s="679"/>
    </row>
    <row r="462" spans="1:13" ht="12.75">
      <c r="A462" s="678"/>
      <c r="B462" s="679"/>
      <c r="C462" s="679"/>
      <c r="D462" s="679"/>
      <c r="E462" s="679"/>
      <c r="F462" s="679"/>
      <c r="G462" s="679"/>
      <c r="H462" s="679"/>
      <c r="I462" s="679"/>
      <c r="J462" s="679"/>
      <c r="K462" s="679"/>
      <c r="L462" s="679"/>
      <c r="M462" s="679"/>
    </row>
    <row r="463" spans="1:13" ht="12.75">
      <c r="A463" s="678"/>
      <c r="B463" s="679"/>
      <c r="C463" s="679"/>
      <c r="D463" s="679"/>
      <c r="E463" s="679"/>
      <c r="F463" s="679"/>
      <c r="G463" s="679"/>
      <c r="H463" s="679"/>
      <c r="I463" s="679"/>
      <c r="J463" s="679"/>
      <c r="K463" s="679"/>
      <c r="L463" s="679"/>
      <c r="M463" s="679"/>
    </row>
    <row r="464" spans="1:13" ht="12.75">
      <c r="A464" s="678"/>
      <c r="B464" s="679"/>
      <c r="C464" s="679"/>
      <c r="D464" s="679"/>
      <c r="E464" s="679"/>
      <c r="F464" s="679"/>
      <c r="G464" s="679"/>
      <c r="H464" s="679"/>
      <c r="I464" s="679"/>
      <c r="J464" s="679"/>
      <c r="K464" s="679"/>
      <c r="L464" s="679"/>
      <c r="M464" s="679"/>
    </row>
    <row r="465" spans="1:13" ht="12.75">
      <c r="A465" s="678"/>
      <c r="B465" s="679"/>
      <c r="C465" s="679"/>
      <c r="D465" s="679"/>
      <c r="E465" s="679"/>
      <c r="F465" s="679"/>
      <c r="G465" s="679"/>
      <c r="H465" s="679"/>
      <c r="I465" s="679"/>
      <c r="J465" s="679"/>
      <c r="K465" s="679"/>
      <c r="L465" s="679"/>
      <c r="M465" s="679"/>
    </row>
    <row r="466" spans="1:13" ht="12.75">
      <c r="A466" s="678"/>
      <c r="B466" s="679"/>
      <c r="C466" s="679"/>
      <c r="D466" s="679"/>
      <c r="E466" s="679"/>
      <c r="F466" s="679"/>
      <c r="G466" s="679"/>
      <c r="H466" s="679"/>
      <c r="I466" s="679"/>
      <c r="J466" s="679"/>
      <c r="K466" s="679"/>
      <c r="L466" s="679"/>
      <c r="M466" s="679"/>
    </row>
    <row r="467" spans="1:13" ht="12.75">
      <c r="A467" s="678"/>
      <c r="B467" s="679"/>
      <c r="C467" s="679"/>
      <c r="D467" s="679"/>
      <c r="E467" s="679"/>
      <c r="F467" s="679"/>
      <c r="G467" s="679"/>
      <c r="H467" s="679"/>
      <c r="I467" s="679"/>
      <c r="J467" s="679"/>
      <c r="K467" s="679"/>
      <c r="L467" s="679"/>
      <c r="M467" s="679"/>
    </row>
    <row r="468" spans="1:13" ht="12.75">
      <c r="A468" s="678"/>
      <c r="B468" s="679"/>
      <c r="C468" s="679"/>
      <c r="D468" s="679"/>
      <c r="E468" s="679"/>
      <c r="F468" s="679"/>
      <c r="G468" s="679"/>
      <c r="H468" s="679"/>
      <c r="I468" s="679"/>
      <c r="J468" s="679"/>
      <c r="K468" s="679"/>
      <c r="L468" s="679"/>
      <c r="M468" s="679"/>
    </row>
    <row r="469" spans="1:13" ht="12.75">
      <c r="A469" s="678"/>
      <c r="B469" s="679"/>
      <c r="C469" s="679"/>
      <c r="D469" s="679"/>
      <c r="E469" s="679"/>
      <c r="F469" s="679"/>
      <c r="G469" s="679"/>
      <c r="H469" s="679"/>
      <c r="I469" s="679"/>
      <c r="J469" s="679"/>
      <c r="K469" s="679"/>
      <c r="L469" s="679"/>
      <c r="M469" s="679"/>
    </row>
    <row r="470" spans="1:13" ht="12.75">
      <c r="A470" s="678"/>
      <c r="B470" s="679"/>
      <c r="C470" s="679"/>
      <c r="D470" s="679"/>
      <c r="E470" s="679"/>
      <c r="F470" s="679"/>
      <c r="G470" s="679"/>
      <c r="H470" s="679"/>
      <c r="I470" s="679"/>
      <c r="J470" s="679"/>
      <c r="K470" s="679"/>
      <c r="L470" s="679"/>
      <c r="M470" s="679"/>
    </row>
    <row r="471" spans="1:13" ht="12.75">
      <c r="A471" s="678"/>
      <c r="B471" s="679"/>
      <c r="C471" s="679"/>
      <c r="D471" s="679"/>
      <c r="E471" s="679"/>
      <c r="F471" s="679"/>
      <c r="G471" s="679"/>
      <c r="H471" s="679"/>
      <c r="I471" s="679"/>
      <c r="J471" s="679"/>
      <c r="K471" s="679"/>
      <c r="L471" s="679"/>
      <c r="M471" s="679"/>
    </row>
    <row r="472" spans="1:13" ht="12.75">
      <c r="A472" s="678"/>
      <c r="B472" s="679"/>
      <c r="C472" s="679"/>
      <c r="D472" s="679"/>
      <c r="E472" s="679"/>
      <c r="F472" s="679"/>
      <c r="G472" s="679"/>
      <c r="H472" s="679"/>
      <c r="I472" s="679"/>
      <c r="J472" s="679"/>
      <c r="K472" s="679"/>
      <c r="L472" s="679"/>
      <c r="M472" s="679"/>
    </row>
    <row r="473" spans="1:13" ht="12.75">
      <c r="A473" s="678"/>
      <c r="B473" s="679"/>
      <c r="C473" s="679"/>
      <c r="D473" s="679"/>
      <c r="E473" s="679"/>
      <c r="F473" s="679"/>
      <c r="G473" s="679"/>
      <c r="H473" s="679"/>
      <c r="I473" s="679"/>
      <c r="J473" s="679"/>
      <c r="K473" s="679"/>
      <c r="L473" s="679"/>
      <c r="M473" s="679"/>
    </row>
    <row r="474" spans="1:13" ht="12.75">
      <c r="A474" s="678"/>
      <c r="B474" s="679"/>
      <c r="C474" s="679"/>
      <c r="D474" s="679"/>
      <c r="E474" s="679"/>
      <c r="F474" s="679"/>
      <c r="G474" s="679"/>
      <c r="H474" s="679"/>
      <c r="I474" s="679"/>
      <c r="J474" s="679"/>
      <c r="K474" s="679"/>
      <c r="L474" s="679"/>
      <c r="M474" s="679"/>
    </row>
    <row r="475" spans="1:13" ht="12.75">
      <c r="A475" s="678"/>
      <c r="B475" s="679"/>
      <c r="C475" s="679"/>
      <c r="D475" s="679"/>
      <c r="E475" s="679"/>
      <c r="F475" s="679"/>
      <c r="G475" s="679"/>
      <c r="H475" s="679"/>
      <c r="I475" s="679"/>
      <c r="J475" s="679"/>
      <c r="K475" s="679"/>
      <c r="L475" s="679"/>
      <c r="M475" s="679"/>
    </row>
    <row r="476" spans="1:13" ht="12.75">
      <c r="A476" s="678"/>
      <c r="B476" s="679"/>
      <c r="C476" s="679"/>
      <c r="D476" s="679"/>
      <c r="E476" s="679"/>
      <c r="F476" s="679"/>
      <c r="G476" s="679"/>
      <c r="H476" s="679"/>
      <c r="I476" s="679"/>
      <c r="J476" s="679"/>
      <c r="K476" s="679"/>
      <c r="L476" s="679"/>
      <c r="M476" s="679"/>
    </row>
    <row r="477" spans="1:13" ht="12.75">
      <c r="A477" s="678"/>
      <c r="B477" s="679"/>
      <c r="C477" s="679"/>
      <c r="D477" s="679"/>
      <c r="E477" s="679"/>
      <c r="F477" s="679"/>
      <c r="G477" s="679"/>
      <c r="H477" s="679"/>
      <c r="I477" s="679"/>
      <c r="J477" s="679"/>
      <c r="K477" s="679"/>
      <c r="L477" s="679"/>
      <c r="M477" s="679"/>
    </row>
    <row r="478" spans="1:13" ht="12.75">
      <c r="A478" s="678"/>
      <c r="B478" s="679"/>
      <c r="C478" s="679"/>
      <c r="D478" s="679"/>
      <c r="E478" s="679"/>
      <c r="F478" s="679"/>
      <c r="G478" s="679"/>
      <c r="H478" s="679"/>
      <c r="I478" s="679"/>
      <c r="J478" s="679"/>
      <c r="K478" s="679"/>
      <c r="L478" s="679"/>
      <c r="M478" s="679"/>
    </row>
    <row r="479" spans="1:13" ht="12.75">
      <c r="A479" s="678"/>
      <c r="B479" s="679"/>
      <c r="C479" s="679"/>
      <c r="D479" s="679"/>
      <c r="E479" s="679"/>
      <c r="F479" s="679"/>
      <c r="G479" s="679"/>
      <c r="H479" s="679"/>
      <c r="I479" s="679"/>
      <c r="J479" s="679"/>
      <c r="K479" s="679"/>
      <c r="L479" s="679"/>
      <c r="M479" s="679"/>
    </row>
    <row r="480" spans="1:13" ht="12.75">
      <c r="A480" s="678"/>
      <c r="B480" s="679"/>
      <c r="C480" s="679"/>
      <c r="D480" s="679"/>
      <c r="E480" s="679"/>
      <c r="F480" s="679"/>
      <c r="G480" s="679"/>
      <c r="H480" s="679"/>
      <c r="I480" s="679"/>
      <c r="J480" s="679"/>
      <c r="K480" s="679"/>
      <c r="L480" s="679"/>
      <c r="M480" s="679"/>
    </row>
    <row r="481" spans="1:13" ht="12.75">
      <c r="A481" s="678"/>
      <c r="B481" s="679"/>
      <c r="C481" s="679"/>
      <c r="D481" s="679"/>
      <c r="E481" s="679"/>
      <c r="F481" s="679"/>
      <c r="G481" s="679"/>
      <c r="H481" s="679"/>
      <c r="I481" s="679"/>
      <c r="J481" s="679"/>
      <c r="K481" s="679"/>
      <c r="L481" s="679"/>
      <c r="M481" s="679"/>
    </row>
    <row r="482" spans="1:13" ht="12.75">
      <c r="A482" s="678"/>
      <c r="B482" s="679"/>
      <c r="C482" s="679"/>
      <c r="D482" s="679"/>
      <c r="E482" s="679"/>
      <c r="F482" s="679"/>
      <c r="G482" s="679"/>
      <c r="H482" s="679"/>
      <c r="I482" s="679"/>
      <c r="J482" s="679"/>
      <c r="K482" s="679"/>
      <c r="L482" s="679"/>
      <c r="M482" s="679"/>
    </row>
    <row r="483" spans="1:13" ht="12.75">
      <c r="A483" s="678"/>
      <c r="B483" s="679"/>
      <c r="C483" s="679"/>
      <c r="D483" s="679"/>
      <c r="E483" s="679"/>
      <c r="F483" s="679"/>
      <c r="G483" s="679"/>
      <c r="H483" s="679"/>
      <c r="I483" s="679"/>
      <c r="J483" s="679"/>
      <c r="K483" s="679"/>
      <c r="L483" s="679"/>
      <c r="M483" s="679"/>
    </row>
    <row r="484" spans="1:13" ht="12.75">
      <c r="A484" s="678"/>
      <c r="B484" s="679"/>
      <c r="C484" s="679"/>
      <c r="D484" s="679"/>
      <c r="E484" s="679"/>
      <c r="F484" s="679"/>
      <c r="G484" s="679"/>
      <c r="H484" s="679"/>
      <c r="I484" s="679"/>
      <c r="J484" s="679"/>
      <c r="K484" s="679"/>
      <c r="L484" s="679"/>
      <c r="M484" s="679"/>
    </row>
    <row r="485" spans="1:13" ht="12.75">
      <c r="A485" s="678"/>
      <c r="B485" s="679"/>
      <c r="C485" s="679"/>
      <c r="D485" s="679"/>
      <c r="E485" s="679"/>
      <c r="F485" s="679"/>
      <c r="G485" s="679"/>
      <c r="H485" s="679"/>
      <c r="I485" s="679"/>
      <c r="J485" s="679"/>
      <c r="K485" s="679"/>
      <c r="L485" s="679"/>
      <c r="M485" s="679"/>
    </row>
    <row r="486" spans="1:13" ht="12.75">
      <c r="A486" s="678"/>
      <c r="B486" s="679"/>
      <c r="C486" s="679"/>
      <c r="D486" s="679"/>
      <c r="E486" s="679"/>
      <c r="F486" s="679"/>
      <c r="G486" s="679"/>
      <c r="H486" s="679"/>
      <c r="I486" s="679"/>
      <c r="J486" s="679"/>
      <c r="K486" s="679"/>
      <c r="L486" s="679"/>
      <c r="M486" s="679"/>
    </row>
    <row r="487" spans="1:13" ht="12.75">
      <c r="A487" s="678"/>
      <c r="B487" s="679"/>
      <c r="C487" s="679"/>
      <c r="D487" s="679"/>
      <c r="E487" s="679"/>
      <c r="F487" s="679"/>
      <c r="G487" s="679"/>
      <c r="H487" s="679"/>
      <c r="I487" s="679"/>
      <c r="J487" s="679"/>
      <c r="K487" s="679"/>
      <c r="L487" s="679"/>
      <c r="M487" s="679"/>
    </row>
    <row r="488" spans="1:13" ht="12.75">
      <c r="A488" s="678"/>
      <c r="B488" s="679"/>
      <c r="C488" s="679"/>
      <c r="D488" s="679"/>
      <c r="E488" s="679"/>
      <c r="F488" s="679"/>
      <c r="G488" s="679"/>
      <c r="H488" s="679"/>
      <c r="I488" s="679"/>
      <c r="J488" s="679"/>
      <c r="K488" s="679"/>
      <c r="L488" s="679"/>
      <c r="M488" s="679"/>
    </row>
    <row r="489" spans="1:13" ht="12.75">
      <c r="A489" s="678"/>
      <c r="B489" s="679"/>
      <c r="C489" s="679"/>
      <c r="D489" s="679"/>
      <c r="E489" s="679"/>
      <c r="F489" s="679"/>
      <c r="G489" s="679"/>
      <c r="H489" s="679"/>
      <c r="I489" s="679"/>
      <c r="J489" s="679"/>
      <c r="K489" s="679"/>
      <c r="L489" s="679"/>
      <c r="M489" s="679"/>
    </row>
    <row r="490" spans="1:13" ht="12.75">
      <c r="A490" s="678"/>
      <c r="B490" s="679"/>
      <c r="C490" s="679"/>
      <c r="D490" s="679"/>
      <c r="E490" s="679"/>
      <c r="F490" s="679"/>
      <c r="G490" s="679"/>
      <c r="H490" s="679"/>
      <c r="I490" s="679"/>
      <c r="J490" s="679"/>
      <c r="K490" s="679"/>
      <c r="L490" s="679"/>
      <c r="M490" s="679"/>
    </row>
    <row r="491" spans="1:13" ht="12.75">
      <c r="A491" s="678"/>
      <c r="B491" s="679"/>
      <c r="C491" s="679"/>
      <c r="D491" s="679"/>
      <c r="E491" s="679"/>
      <c r="F491" s="679"/>
      <c r="G491" s="679"/>
      <c r="H491" s="679"/>
      <c r="I491" s="679"/>
      <c r="J491" s="679"/>
      <c r="K491" s="679"/>
      <c r="L491" s="679"/>
      <c r="M491" s="679"/>
    </row>
    <row r="492" spans="1:13" ht="12.75">
      <c r="A492" s="678"/>
      <c r="B492" s="679"/>
      <c r="C492" s="679"/>
      <c r="D492" s="679"/>
      <c r="E492" s="679"/>
      <c r="F492" s="679"/>
      <c r="G492" s="679"/>
      <c r="H492" s="679"/>
      <c r="I492" s="679"/>
      <c r="J492" s="679"/>
      <c r="K492" s="679"/>
      <c r="L492" s="679"/>
      <c r="M492" s="679"/>
    </row>
    <row r="493" spans="1:13" ht="12.75">
      <c r="A493" s="678"/>
      <c r="B493" s="679"/>
      <c r="C493" s="679"/>
      <c r="D493" s="679"/>
      <c r="E493" s="679"/>
      <c r="F493" s="679"/>
      <c r="G493" s="679"/>
      <c r="H493" s="679"/>
      <c r="I493" s="679"/>
      <c r="J493" s="679"/>
      <c r="K493" s="679"/>
      <c r="L493" s="679"/>
      <c r="M493" s="679"/>
    </row>
    <row r="494" spans="1:13" ht="12.75">
      <c r="A494" s="678"/>
      <c r="B494" s="679"/>
      <c r="C494" s="679"/>
      <c r="D494" s="679"/>
      <c r="E494" s="679"/>
      <c r="F494" s="679"/>
      <c r="G494" s="679"/>
      <c r="H494" s="679"/>
      <c r="I494" s="679"/>
      <c r="J494" s="679"/>
      <c r="K494" s="679"/>
      <c r="L494" s="679"/>
      <c r="M494" s="679"/>
    </row>
    <row r="495" spans="1:13" ht="12.75">
      <c r="A495" s="678"/>
      <c r="B495" s="679"/>
      <c r="C495" s="679"/>
      <c r="D495" s="679"/>
      <c r="E495" s="679"/>
      <c r="F495" s="679"/>
      <c r="G495" s="679"/>
      <c r="H495" s="679"/>
      <c r="I495" s="679"/>
      <c r="J495" s="679"/>
      <c r="K495" s="679"/>
      <c r="L495" s="679"/>
      <c r="M495" s="679"/>
    </row>
    <row r="496" spans="1:13" ht="12.75">
      <c r="A496" s="678"/>
      <c r="B496" s="679"/>
      <c r="C496" s="679"/>
      <c r="D496" s="679"/>
      <c r="E496" s="679"/>
      <c r="F496" s="679"/>
      <c r="G496" s="679"/>
      <c r="H496" s="679"/>
      <c r="I496" s="679"/>
      <c r="J496" s="679"/>
      <c r="K496" s="679"/>
      <c r="L496" s="679"/>
      <c r="M496" s="679"/>
    </row>
    <row r="497" spans="1:13" ht="12.75">
      <c r="A497" s="678"/>
      <c r="B497" s="679"/>
      <c r="C497" s="679"/>
      <c r="D497" s="679"/>
      <c r="E497" s="679"/>
      <c r="F497" s="679"/>
      <c r="G497" s="679"/>
      <c r="H497" s="679"/>
      <c r="I497" s="679"/>
      <c r="J497" s="679"/>
      <c r="K497" s="679"/>
      <c r="L497" s="679"/>
      <c r="M497" s="679"/>
    </row>
    <row r="498" spans="1:13" ht="12.75">
      <c r="A498" s="678"/>
      <c r="B498" s="679"/>
      <c r="C498" s="679"/>
      <c r="D498" s="679"/>
      <c r="E498" s="679"/>
      <c r="F498" s="679"/>
      <c r="G498" s="679"/>
      <c r="H498" s="679"/>
      <c r="I498" s="679"/>
      <c r="J498" s="679"/>
      <c r="K498" s="679"/>
      <c r="L498" s="679"/>
      <c r="M498" s="679"/>
    </row>
    <row r="499" spans="1:13" ht="12.75">
      <c r="A499" s="678"/>
      <c r="B499" s="679"/>
      <c r="C499" s="679"/>
      <c r="D499" s="679"/>
      <c r="E499" s="679"/>
      <c r="F499" s="679"/>
      <c r="G499" s="679"/>
      <c r="H499" s="679"/>
      <c r="I499" s="679"/>
      <c r="J499" s="679"/>
      <c r="K499" s="679"/>
      <c r="L499" s="679"/>
      <c r="M499" s="679"/>
    </row>
    <row r="500" spans="1:13" ht="12.75">
      <c r="A500" s="678"/>
      <c r="B500" s="679"/>
      <c r="C500" s="679"/>
      <c r="D500" s="679"/>
      <c r="E500" s="679"/>
      <c r="F500" s="679"/>
      <c r="G500" s="679"/>
      <c r="H500" s="679"/>
      <c r="I500" s="679"/>
      <c r="J500" s="679"/>
      <c r="K500" s="679"/>
      <c r="L500" s="679"/>
      <c r="M500" s="679"/>
    </row>
    <row r="501" spans="1:13" ht="12.75">
      <c r="A501" s="678"/>
      <c r="B501" s="679"/>
      <c r="C501" s="679"/>
      <c r="D501" s="679"/>
      <c r="E501" s="679"/>
      <c r="F501" s="679"/>
      <c r="G501" s="679"/>
      <c r="H501" s="679"/>
      <c r="I501" s="679"/>
      <c r="J501" s="679"/>
      <c r="K501" s="679"/>
      <c r="L501" s="679"/>
      <c r="M501" s="679"/>
    </row>
    <row r="502" spans="1:13" ht="12.75">
      <c r="A502" s="678"/>
      <c r="B502" s="679"/>
      <c r="C502" s="679"/>
      <c r="D502" s="679"/>
      <c r="E502" s="679"/>
      <c r="F502" s="679"/>
      <c r="G502" s="679"/>
      <c r="H502" s="679"/>
      <c r="I502" s="679"/>
      <c r="J502" s="679"/>
      <c r="K502" s="679"/>
      <c r="L502" s="679"/>
      <c r="M502" s="679"/>
    </row>
    <row r="503" spans="1:13" ht="12.75">
      <c r="A503" s="678"/>
      <c r="B503" s="679"/>
      <c r="C503" s="679"/>
      <c r="D503" s="679"/>
      <c r="E503" s="679"/>
      <c r="F503" s="679"/>
      <c r="G503" s="679"/>
      <c r="H503" s="679"/>
      <c r="I503" s="679"/>
      <c r="J503" s="679"/>
      <c r="K503" s="679"/>
      <c r="L503" s="679"/>
      <c r="M503" s="679"/>
    </row>
    <row r="504" spans="1:13" ht="12.75">
      <c r="A504" s="678"/>
      <c r="B504" s="679"/>
      <c r="C504" s="679"/>
      <c r="D504" s="679"/>
      <c r="E504" s="679"/>
      <c r="F504" s="679"/>
      <c r="G504" s="679"/>
      <c r="H504" s="679"/>
      <c r="I504" s="679"/>
      <c r="J504" s="679"/>
      <c r="K504" s="679"/>
      <c r="L504" s="679"/>
      <c r="M504" s="679"/>
    </row>
    <row r="505" spans="1:13" ht="12.75">
      <c r="A505" s="678"/>
      <c r="B505" s="679"/>
      <c r="C505" s="679"/>
      <c r="D505" s="679"/>
      <c r="E505" s="679"/>
      <c r="F505" s="679"/>
      <c r="G505" s="679"/>
      <c r="H505" s="679"/>
      <c r="I505" s="679"/>
      <c r="J505" s="679"/>
      <c r="K505" s="679"/>
      <c r="L505" s="679"/>
      <c r="M505" s="679"/>
    </row>
    <row r="506" spans="1:13" ht="12.75">
      <c r="A506" s="678"/>
      <c r="B506" s="679"/>
      <c r="C506" s="679"/>
      <c r="D506" s="679"/>
      <c r="E506" s="679"/>
      <c r="F506" s="679"/>
      <c r="G506" s="679"/>
      <c r="H506" s="679"/>
      <c r="I506" s="679"/>
      <c r="J506" s="679"/>
      <c r="K506" s="679"/>
      <c r="L506" s="679"/>
      <c r="M506" s="679"/>
    </row>
    <row r="507" spans="1:13" ht="12.75">
      <c r="A507" s="678"/>
      <c r="B507" s="679"/>
      <c r="C507" s="679"/>
      <c r="D507" s="679"/>
      <c r="E507" s="679"/>
      <c r="F507" s="679"/>
      <c r="G507" s="679"/>
      <c r="H507" s="679"/>
      <c r="I507" s="679"/>
      <c r="J507" s="679"/>
      <c r="K507" s="679"/>
      <c r="L507" s="679"/>
      <c r="M507" s="679"/>
    </row>
    <row r="508" spans="1:13" ht="12.75">
      <c r="A508" s="678"/>
      <c r="B508" s="679"/>
      <c r="C508" s="679"/>
      <c r="D508" s="679"/>
      <c r="E508" s="679"/>
      <c r="F508" s="679"/>
      <c r="G508" s="679"/>
      <c r="H508" s="679"/>
      <c r="I508" s="679"/>
      <c r="J508" s="679"/>
      <c r="K508" s="679"/>
      <c r="L508" s="679"/>
      <c r="M508" s="679"/>
    </row>
    <row r="509" spans="1:13" ht="12.75">
      <c r="A509" s="678"/>
      <c r="B509" s="679"/>
      <c r="C509" s="679"/>
      <c r="D509" s="679"/>
      <c r="E509" s="679"/>
      <c r="F509" s="679"/>
      <c r="G509" s="679"/>
      <c r="H509" s="679"/>
      <c r="I509" s="679"/>
      <c r="J509" s="679"/>
      <c r="K509" s="679"/>
      <c r="L509" s="679"/>
      <c r="M509" s="679"/>
    </row>
    <row r="510" spans="1:13" ht="12.75">
      <c r="A510" s="678"/>
      <c r="B510" s="679"/>
      <c r="C510" s="679"/>
      <c r="D510" s="679"/>
      <c r="E510" s="679"/>
      <c r="F510" s="679"/>
      <c r="G510" s="679"/>
      <c r="H510" s="679"/>
      <c r="I510" s="679"/>
      <c r="J510" s="679"/>
      <c r="K510" s="679"/>
      <c r="L510" s="679"/>
      <c r="M510" s="679"/>
    </row>
    <row r="511" spans="1:13" ht="12.75">
      <c r="A511" s="678"/>
      <c r="B511" s="679"/>
      <c r="C511" s="679"/>
      <c r="D511" s="679"/>
      <c r="E511" s="679"/>
      <c r="F511" s="679"/>
      <c r="G511" s="679"/>
      <c r="H511" s="679"/>
      <c r="I511" s="679"/>
      <c r="J511" s="679"/>
      <c r="K511" s="679"/>
      <c r="L511" s="679"/>
      <c r="M511" s="679"/>
    </row>
    <row r="512" spans="1:13" ht="12.75">
      <c r="A512" s="678"/>
      <c r="B512" s="679"/>
      <c r="C512" s="679"/>
      <c r="D512" s="679"/>
      <c r="E512" s="679"/>
      <c r="F512" s="679"/>
      <c r="G512" s="679"/>
      <c r="H512" s="679"/>
      <c r="I512" s="679"/>
      <c r="J512" s="679"/>
      <c r="K512" s="679"/>
      <c r="L512" s="679"/>
      <c r="M512" s="679"/>
    </row>
    <row r="513" spans="1:13" ht="12.75">
      <c r="A513" s="678"/>
      <c r="B513" s="679"/>
      <c r="C513" s="679"/>
      <c r="D513" s="679"/>
      <c r="E513" s="679"/>
      <c r="F513" s="679"/>
      <c r="G513" s="679"/>
      <c r="H513" s="679"/>
      <c r="I513" s="679"/>
      <c r="J513" s="679"/>
      <c r="K513" s="679"/>
      <c r="L513" s="679"/>
      <c r="M513" s="679"/>
    </row>
    <row r="514" spans="1:13" ht="12.75">
      <c r="A514" s="678"/>
      <c r="B514" s="679"/>
      <c r="C514" s="679"/>
      <c r="D514" s="679"/>
      <c r="E514" s="679"/>
      <c r="F514" s="679"/>
      <c r="G514" s="679"/>
      <c r="H514" s="679"/>
      <c r="I514" s="679"/>
      <c r="J514" s="679"/>
      <c r="K514" s="679"/>
      <c r="L514" s="679"/>
      <c r="M514" s="679"/>
    </row>
    <row r="515" spans="1:13" ht="12.75">
      <c r="A515" s="678"/>
      <c r="B515" s="679"/>
      <c r="C515" s="679"/>
      <c r="D515" s="679"/>
      <c r="E515" s="679"/>
      <c r="F515" s="679"/>
      <c r="G515" s="679"/>
      <c r="H515" s="679"/>
      <c r="I515" s="679"/>
      <c r="J515" s="679"/>
      <c r="K515" s="679"/>
      <c r="L515" s="679"/>
      <c r="M515" s="679"/>
    </row>
    <row r="516" spans="1:13" ht="12.75">
      <c r="A516" s="678"/>
      <c r="B516" s="679"/>
      <c r="C516" s="679"/>
      <c r="D516" s="679"/>
      <c r="E516" s="679"/>
      <c r="F516" s="679"/>
      <c r="G516" s="679"/>
      <c r="H516" s="679"/>
      <c r="I516" s="679"/>
      <c r="J516" s="679"/>
      <c r="K516" s="679"/>
      <c r="L516" s="679"/>
      <c r="M516" s="679"/>
    </row>
    <row r="517" spans="1:13" ht="12.75">
      <c r="A517" s="678"/>
      <c r="B517" s="679"/>
      <c r="C517" s="679"/>
      <c r="D517" s="679"/>
      <c r="E517" s="679"/>
      <c r="F517" s="679"/>
      <c r="G517" s="679"/>
      <c r="H517" s="679"/>
      <c r="I517" s="679"/>
      <c r="J517" s="679"/>
      <c r="K517" s="679"/>
      <c r="L517" s="679"/>
      <c r="M517" s="679"/>
    </row>
    <row r="518" spans="1:13" ht="12.75">
      <c r="A518" s="678"/>
      <c r="B518" s="679"/>
      <c r="C518" s="679"/>
      <c r="D518" s="679"/>
      <c r="E518" s="679"/>
      <c r="F518" s="679"/>
      <c r="G518" s="679"/>
      <c r="H518" s="679"/>
      <c r="I518" s="679"/>
      <c r="J518" s="679"/>
      <c r="K518" s="679"/>
      <c r="L518" s="679"/>
      <c r="M518" s="679"/>
    </row>
    <row r="519" spans="1:13" ht="12.75">
      <c r="A519" s="678"/>
      <c r="B519" s="679"/>
      <c r="C519" s="679"/>
      <c r="D519" s="679"/>
      <c r="E519" s="679"/>
      <c r="F519" s="679"/>
      <c r="G519" s="679"/>
      <c r="H519" s="679"/>
      <c r="I519" s="679"/>
      <c r="J519" s="679"/>
      <c r="K519" s="679"/>
      <c r="L519" s="679"/>
      <c r="M519" s="679"/>
    </row>
    <row r="520" spans="1:13" ht="12.75">
      <c r="A520" s="678"/>
      <c r="B520" s="679"/>
      <c r="C520" s="679"/>
      <c r="D520" s="679"/>
      <c r="E520" s="679"/>
      <c r="F520" s="679"/>
      <c r="G520" s="679"/>
      <c r="H520" s="679"/>
      <c r="I520" s="679"/>
      <c r="J520" s="679"/>
      <c r="K520" s="679"/>
      <c r="L520" s="679"/>
      <c r="M520" s="679"/>
    </row>
    <row r="521" spans="1:13" ht="12.75">
      <c r="A521" s="678"/>
      <c r="B521" s="679"/>
      <c r="C521" s="679"/>
      <c r="D521" s="679"/>
      <c r="E521" s="679"/>
      <c r="F521" s="679"/>
      <c r="G521" s="679"/>
      <c r="H521" s="679"/>
      <c r="I521" s="679"/>
      <c r="J521" s="679"/>
      <c r="K521" s="679"/>
      <c r="L521" s="679"/>
      <c r="M521" s="679"/>
    </row>
    <row r="522" spans="1:13" ht="12.75">
      <c r="A522" s="678"/>
      <c r="B522" s="679"/>
      <c r="C522" s="679"/>
      <c r="D522" s="679"/>
      <c r="E522" s="679"/>
      <c r="F522" s="679"/>
      <c r="G522" s="679"/>
      <c r="H522" s="679"/>
      <c r="I522" s="679"/>
      <c r="J522" s="679"/>
      <c r="K522" s="679"/>
      <c r="L522" s="679"/>
      <c r="M522" s="679"/>
    </row>
    <row r="523" spans="1:13" ht="12.75">
      <c r="A523" s="678"/>
      <c r="B523" s="679"/>
      <c r="C523" s="679"/>
      <c r="D523" s="679"/>
      <c r="E523" s="679"/>
      <c r="F523" s="679"/>
      <c r="G523" s="679"/>
      <c r="H523" s="679"/>
      <c r="I523" s="679"/>
      <c r="J523" s="679"/>
      <c r="K523" s="679"/>
      <c r="L523" s="679"/>
      <c r="M523" s="679"/>
    </row>
    <row r="524" spans="1:13" ht="12.75">
      <c r="A524" s="678"/>
      <c r="B524" s="679"/>
      <c r="C524" s="679"/>
      <c r="D524" s="679"/>
      <c r="E524" s="679"/>
      <c r="F524" s="679"/>
      <c r="G524" s="679"/>
      <c r="H524" s="679"/>
      <c r="I524" s="679"/>
      <c r="J524" s="679"/>
      <c r="K524" s="679"/>
      <c r="L524" s="679"/>
      <c r="M524" s="679"/>
    </row>
    <row r="525" spans="1:13" ht="12.75">
      <c r="A525" s="678"/>
      <c r="B525" s="679"/>
      <c r="C525" s="679"/>
      <c r="D525" s="679"/>
      <c r="E525" s="679"/>
      <c r="F525" s="679"/>
      <c r="G525" s="679"/>
      <c r="H525" s="679"/>
      <c r="I525" s="679"/>
      <c r="J525" s="679"/>
      <c r="K525" s="679"/>
      <c r="L525" s="679"/>
      <c r="M525" s="679"/>
    </row>
    <row r="526" spans="1:13" ht="12.75">
      <c r="A526" s="678"/>
      <c r="B526" s="679"/>
      <c r="C526" s="679"/>
      <c r="D526" s="679"/>
      <c r="E526" s="679"/>
      <c r="F526" s="679"/>
      <c r="G526" s="679"/>
      <c r="H526" s="679"/>
      <c r="I526" s="679"/>
      <c r="J526" s="679"/>
      <c r="K526" s="679"/>
      <c r="L526" s="679"/>
      <c r="M526" s="679"/>
    </row>
    <row r="527" spans="1:13" ht="12.75">
      <c r="A527" s="678"/>
      <c r="B527" s="679"/>
      <c r="C527" s="679"/>
      <c r="D527" s="679"/>
      <c r="E527" s="679"/>
      <c r="F527" s="679"/>
      <c r="G527" s="679"/>
      <c r="H527" s="679"/>
      <c r="I527" s="679"/>
      <c r="J527" s="679"/>
      <c r="K527" s="679"/>
      <c r="L527" s="679"/>
      <c r="M527" s="679"/>
    </row>
    <row r="528" spans="1:13" ht="12.75">
      <c r="A528" s="678"/>
      <c r="B528" s="679"/>
      <c r="C528" s="679"/>
      <c r="D528" s="679"/>
      <c r="E528" s="679"/>
      <c r="F528" s="679"/>
      <c r="G528" s="679"/>
      <c r="H528" s="679"/>
      <c r="I528" s="679"/>
      <c r="J528" s="679"/>
      <c r="K528" s="679"/>
      <c r="L528" s="679"/>
      <c r="M528" s="679"/>
    </row>
    <row r="529" spans="1:13" ht="12.75">
      <c r="A529" s="678"/>
      <c r="B529" s="679"/>
      <c r="C529" s="679"/>
      <c r="D529" s="679"/>
      <c r="E529" s="679"/>
      <c r="F529" s="679"/>
      <c r="G529" s="679"/>
      <c r="H529" s="679"/>
      <c r="I529" s="679"/>
      <c r="J529" s="679"/>
      <c r="K529" s="679"/>
      <c r="L529" s="679"/>
      <c r="M529" s="679"/>
    </row>
    <row r="530" spans="1:13" ht="12.75">
      <c r="A530" s="678"/>
      <c r="B530" s="679"/>
      <c r="C530" s="679"/>
      <c r="D530" s="679"/>
      <c r="E530" s="679"/>
      <c r="F530" s="679"/>
      <c r="G530" s="679"/>
      <c r="H530" s="679"/>
      <c r="I530" s="679"/>
      <c r="J530" s="679"/>
      <c r="K530" s="679"/>
      <c r="L530" s="679"/>
      <c r="M530" s="679"/>
    </row>
    <row r="531" spans="1:13" ht="12.75">
      <c r="A531" s="678"/>
      <c r="B531" s="679"/>
      <c r="C531" s="679"/>
      <c r="D531" s="679"/>
      <c r="E531" s="679"/>
      <c r="F531" s="679"/>
      <c r="G531" s="679"/>
      <c r="H531" s="679"/>
      <c r="I531" s="679"/>
      <c r="J531" s="679"/>
      <c r="K531" s="679"/>
      <c r="L531" s="679"/>
      <c r="M531" s="679"/>
    </row>
    <row r="532" spans="1:13" ht="12.75">
      <c r="A532" s="678"/>
      <c r="B532" s="679"/>
      <c r="C532" s="679"/>
      <c r="D532" s="679"/>
      <c r="E532" s="679"/>
      <c r="F532" s="679"/>
      <c r="G532" s="679"/>
      <c r="H532" s="679"/>
      <c r="I532" s="679"/>
      <c r="J532" s="679"/>
      <c r="K532" s="679"/>
      <c r="L532" s="679"/>
      <c r="M532" s="679"/>
    </row>
    <row r="533" spans="1:13" ht="12.75">
      <c r="A533" s="678"/>
      <c r="B533" s="679"/>
      <c r="C533" s="679"/>
      <c r="D533" s="679"/>
      <c r="E533" s="679"/>
      <c r="F533" s="679"/>
      <c r="G533" s="679"/>
      <c r="H533" s="679"/>
      <c r="I533" s="679"/>
      <c r="J533" s="679"/>
      <c r="K533" s="679"/>
      <c r="L533" s="679"/>
      <c r="M533" s="679"/>
    </row>
    <row r="534" spans="1:13" ht="12.75">
      <c r="A534" s="678"/>
      <c r="B534" s="679"/>
      <c r="C534" s="679"/>
      <c r="D534" s="679"/>
      <c r="E534" s="679"/>
      <c r="F534" s="679"/>
      <c r="G534" s="679"/>
      <c r="H534" s="679"/>
      <c r="I534" s="679"/>
      <c r="J534" s="679"/>
      <c r="K534" s="679"/>
      <c r="L534" s="679"/>
      <c r="M534" s="679"/>
    </row>
    <row r="535" spans="1:13" ht="12.75">
      <c r="A535" s="678"/>
      <c r="B535" s="679"/>
      <c r="C535" s="679"/>
      <c r="D535" s="679"/>
      <c r="E535" s="679"/>
      <c r="F535" s="679"/>
      <c r="G535" s="679"/>
      <c r="H535" s="679"/>
      <c r="I535" s="679"/>
      <c r="J535" s="679"/>
      <c r="K535" s="679"/>
      <c r="L535" s="679"/>
      <c r="M535" s="679"/>
    </row>
    <row r="536" spans="1:13" ht="12.75">
      <c r="A536" s="678"/>
      <c r="B536" s="679"/>
      <c r="C536" s="679"/>
      <c r="D536" s="679"/>
      <c r="E536" s="679"/>
      <c r="F536" s="679"/>
      <c r="G536" s="679"/>
      <c r="H536" s="679"/>
      <c r="I536" s="679"/>
      <c r="J536" s="679"/>
      <c r="K536" s="679"/>
      <c r="L536" s="679"/>
      <c r="M536" s="679"/>
    </row>
    <row r="537" spans="1:13" ht="12.75">
      <c r="A537" s="678"/>
      <c r="B537" s="679"/>
      <c r="C537" s="679"/>
      <c r="D537" s="679"/>
      <c r="E537" s="679"/>
      <c r="F537" s="679"/>
      <c r="G537" s="679"/>
      <c r="H537" s="679"/>
      <c r="I537" s="679"/>
      <c r="J537" s="679"/>
      <c r="K537" s="679"/>
      <c r="L537" s="679"/>
      <c r="M537" s="679"/>
    </row>
    <row r="538" spans="1:13" ht="12.75">
      <c r="A538" s="678"/>
      <c r="B538" s="679"/>
      <c r="C538" s="679"/>
      <c r="D538" s="679"/>
      <c r="E538" s="679"/>
      <c r="F538" s="679"/>
      <c r="G538" s="679"/>
      <c r="H538" s="679"/>
      <c r="I538" s="679"/>
      <c r="J538" s="679"/>
      <c r="K538" s="679"/>
      <c r="L538" s="679"/>
      <c r="M538" s="679"/>
    </row>
    <row r="539" spans="1:13" ht="12.75">
      <c r="A539" s="678"/>
      <c r="B539" s="679"/>
      <c r="C539" s="679"/>
      <c r="D539" s="679"/>
      <c r="E539" s="679"/>
      <c r="F539" s="679"/>
      <c r="G539" s="679"/>
      <c r="H539" s="679"/>
      <c r="I539" s="679"/>
      <c r="J539" s="679"/>
      <c r="K539" s="679"/>
      <c r="L539" s="679"/>
      <c r="M539" s="679"/>
    </row>
    <row r="540" spans="1:13" ht="12.75">
      <c r="A540" s="678"/>
      <c r="B540" s="679"/>
      <c r="C540" s="679"/>
      <c r="D540" s="679"/>
      <c r="E540" s="679"/>
      <c r="F540" s="679"/>
      <c r="G540" s="679"/>
      <c r="H540" s="679"/>
      <c r="I540" s="679"/>
      <c r="J540" s="679"/>
      <c r="K540" s="679"/>
      <c r="L540" s="679"/>
      <c r="M540" s="679"/>
    </row>
    <row r="541" spans="1:13" ht="12.75">
      <c r="A541" s="678"/>
      <c r="B541" s="679"/>
      <c r="C541" s="679"/>
      <c r="D541" s="679"/>
      <c r="E541" s="679"/>
      <c r="F541" s="679"/>
      <c r="G541" s="679"/>
      <c r="H541" s="679"/>
      <c r="I541" s="679"/>
      <c r="J541" s="679"/>
      <c r="K541" s="679"/>
      <c r="L541" s="679"/>
      <c r="M541" s="679"/>
    </row>
    <row r="542" spans="1:13" ht="12.75">
      <c r="A542" s="678"/>
      <c r="B542" s="679"/>
      <c r="C542" s="679"/>
      <c r="D542" s="679"/>
      <c r="E542" s="679"/>
      <c r="F542" s="679"/>
      <c r="G542" s="679"/>
      <c r="H542" s="679"/>
      <c r="I542" s="679"/>
      <c r="J542" s="679"/>
      <c r="K542" s="679"/>
      <c r="L542" s="679"/>
      <c r="M542" s="679"/>
    </row>
    <row r="543" spans="1:13" ht="12.75">
      <c r="A543" s="678"/>
      <c r="B543" s="679"/>
      <c r="C543" s="679"/>
      <c r="D543" s="679"/>
      <c r="E543" s="679"/>
      <c r="F543" s="679"/>
      <c r="G543" s="679"/>
      <c r="H543" s="679"/>
      <c r="I543" s="679"/>
      <c r="J543" s="679"/>
      <c r="K543" s="679"/>
      <c r="L543" s="679"/>
      <c r="M543" s="679"/>
    </row>
    <row r="544" spans="1:13" ht="12.75">
      <c r="A544" s="678"/>
      <c r="B544" s="679"/>
      <c r="C544" s="679"/>
      <c r="D544" s="679"/>
      <c r="E544" s="679"/>
      <c r="F544" s="679"/>
      <c r="G544" s="679"/>
      <c r="H544" s="679"/>
      <c r="I544" s="679"/>
      <c r="J544" s="679"/>
      <c r="K544" s="679"/>
      <c r="L544" s="679"/>
      <c r="M544" s="679"/>
    </row>
    <row r="545" spans="1:13" ht="12.75">
      <c r="A545" s="678"/>
      <c r="B545" s="679"/>
      <c r="C545" s="679"/>
      <c r="D545" s="679"/>
      <c r="E545" s="679"/>
      <c r="F545" s="679"/>
      <c r="G545" s="679"/>
      <c r="H545" s="679"/>
      <c r="I545" s="679"/>
      <c r="J545" s="679"/>
      <c r="K545" s="679"/>
      <c r="L545" s="679"/>
      <c r="M545" s="679"/>
    </row>
    <row r="546" spans="1:13" ht="12.75">
      <c r="A546" s="678"/>
      <c r="B546" s="679"/>
      <c r="C546" s="679"/>
      <c r="D546" s="679"/>
      <c r="E546" s="679"/>
      <c r="F546" s="679"/>
      <c r="G546" s="679"/>
      <c r="H546" s="679"/>
      <c r="I546" s="679"/>
      <c r="J546" s="679"/>
      <c r="K546" s="679"/>
      <c r="L546" s="679"/>
      <c r="M546" s="679"/>
    </row>
    <row r="547" spans="1:13" ht="12.75">
      <c r="A547" s="678"/>
      <c r="B547" s="679"/>
      <c r="C547" s="679"/>
      <c r="D547" s="679"/>
      <c r="E547" s="679"/>
      <c r="F547" s="679"/>
      <c r="G547" s="679"/>
      <c r="H547" s="679"/>
      <c r="I547" s="679"/>
      <c r="J547" s="679"/>
      <c r="K547" s="679"/>
      <c r="L547" s="679"/>
      <c r="M547" s="679"/>
    </row>
    <row r="548" spans="1:13" ht="12.75">
      <c r="A548" s="678"/>
      <c r="B548" s="679"/>
      <c r="C548" s="679"/>
      <c r="D548" s="679"/>
      <c r="E548" s="679"/>
      <c r="F548" s="679"/>
      <c r="G548" s="679"/>
      <c r="H548" s="679"/>
      <c r="I548" s="679"/>
      <c r="J548" s="679"/>
      <c r="K548" s="679"/>
      <c r="L548" s="679"/>
      <c r="M548" s="679"/>
    </row>
    <row r="549" spans="1:13" ht="12.75">
      <c r="A549" s="678"/>
      <c r="B549" s="679"/>
      <c r="C549" s="679"/>
      <c r="D549" s="679"/>
      <c r="E549" s="679"/>
      <c r="F549" s="679"/>
      <c r="G549" s="679"/>
      <c r="H549" s="679"/>
      <c r="I549" s="679"/>
      <c r="J549" s="679"/>
      <c r="K549" s="679"/>
      <c r="L549" s="679"/>
      <c r="M549" s="679"/>
    </row>
    <row r="550" spans="1:13" ht="12.75">
      <c r="A550" s="678"/>
      <c r="B550" s="679"/>
      <c r="C550" s="679"/>
      <c r="D550" s="679"/>
      <c r="E550" s="679"/>
      <c r="F550" s="679"/>
      <c r="G550" s="679"/>
      <c r="H550" s="679"/>
      <c r="I550" s="679"/>
      <c r="J550" s="679"/>
      <c r="K550" s="679"/>
      <c r="L550" s="679"/>
      <c r="M550" s="679"/>
    </row>
    <row r="551" spans="1:13" ht="12.75">
      <c r="A551" s="678"/>
      <c r="B551" s="679"/>
      <c r="C551" s="679"/>
      <c r="D551" s="679"/>
      <c r="E551" s="679"/>
      <c r="F551" s="679"/>
      <c r="G551" s="679"/>
      <c r="H551" s="679"/>
      <c r="I551" s="679"/>
      <c r="J551" s="679"/>
      <c r="K551" s="679"/>
      <c r="L551" s="679"/>
      <c r="M551" s="679"/>
    </row>
    <row r="552" spans="1:13" ht="12.75">
      <c r="A552" s="678"/>
      <c r="B552" s="679"/>
      <c r="C552" s="679"/>
      <c r="D552" s="679"/>
      <c r="E552" s="679"/>
      <c r="F552" s="679"/>
      <c r="G552" s="679"/>
      <c r="H552" s="679"/>
      <c r="I552" s="679"/>
      <c r="J552" s="679"/>
      <c r="K552" s="679"/>
      <c r="L552" s="679"/>
      <c r="M552" s="679"/>
    </row>
    <row r="553" spans="1:13" ht="12.75">
      <c r="A553" s="678"/>
      <c r="B553" s="679"/>
      <c r="C553" s="679"/>
      <c r="D553" s="679"/>
      <c r="E553" s="679"/>
      <c r="F553" s="679"/>
      <c r="G553" s="679"/>
      <c r="H553" s="679"/>
      <c r="I553" s="679"/>
      <c r="J553" s="679"/>
      <c r="K553" s="679"/>
      <c r="L553" s="679"/>
      <c r="M553" s="679"/>
    </row>
    <row r="554" spans="1:13" ht="12.75">
      <c r="A554" s="678"/>
      <c r="B554" s="679"/>
      <c r="C554" s="679"/>
      <c r="D554" s="679"/>
      <c r="E554" s="679"/>
      <c r="F554" s="679"/>
      <c r="G554" s="679"/>
      <c r="H554" s="679"/>
      <c r="I554" s="679"/>
      <c r="J554" s="679"/>
      <c r="K554" s="679"/>
      <c r="L554" s="679"/>
      <c r="M554" s="679"/>
    </row>
    <row r="555" spans="1:13" ht="12.75">
      <c r="A555" s="678"/>
      <c r="B555" s="679"/>
      <c r="C555" s="679"/>
      <c r="D555" s="679"/>
      <c r="E555" s="679"/>
      <c r="F555" s="679"/>
      <c r="G555" s="679"/>
      <c r="H555" s="679"/>
      <c r="I555" s="679"/>
      <c r="J555" s="679"/>
      <c r="K555" s="679"/>
      <c r="L555" s="679"/>
      <c r="M555" s="679"/>
    </row>
    <row r="556" spans="1:13" ht="12.75">
      <c r="A556" s="678"/>
      <c r="B556" s="679"/>
      <c r="C556" s="679"/>
      <c r="D556" s="679"/>
      <c r="E556" s="679"/>
      <c r="F556" s="679"/>
      <c r="G556" s="679"/>
      <c r="H556" s="679"/>
      <c r="I556" s="679"/>
      <c r="J556" s="679"/>
      <c r="K556" s="679"/>
      <c r="L556" s="679"/>
      <c r="M556" s="679"/>
    </row>
    <row r="557" spans="1:13" ht="12.75">
      <c r="A557" s="678"/>
      <c r="B557" s="679"/>
      <c r="C557" s="679"/>
      <c r="D557" s="679"/>
      <c r="E557" s="679"/>
      <c r="F557" s="679"/>
      <c r="G557" s="679"/>
      <c r="H557" s="679"/>
      <c r="I557" s="679"/>
      <c r="J557" s="679"/>
      <c r="K557" s="679"/>
      <c r="L557" s="679"/>
      <c r="M557" s="679"/>
    </row>
    <row r="558" spans="1:13" ht="12.75">
      <c r="A558" s="678"/>
      <c r="B558" s="679"/>
      <c r="C558" s="679"/>
      <c r="D558" s="679"/>
      <c r="E558" s="679"/>
      <c r="F558" s="679"/>
      <c r="G558" s="679"/>
      <c r="H558" s="679"/>
      <c r="I558" s="679"/>
      <c r="J558" s="679"/>
      <c r="K558" s="679"/>
      <c r="L558" s="679"/>
      <c r="M558" s="679"/>
    </row>
    <row r="559" spans="1:13" ht="12.75">
      <c r="A559" s="678"/>
      <c r="B559" s="679"/>
      <c r="C559" s="679"/>
      <c r="D559" s="679"/>
      <c r="E559" s="679"/>
      <c r="F559" s="679"/>
      <c r="G559" s="679"/>
      <c r="H559" s="679"/>
      <c r="I559" s="679"/>
      <c r="J559" s="679"/>
      <c r="K559" s="679"/>
      <c r="L559" s="679"/>
      <c r="M559" s="679"/>
    </row>
    <row r="560" spans="1:13" ht="12.75">
      <c r="A560" s="678"/>
      <c r="B560" s="679"/>
      <c r="C560" s="679"/>
      <c r="D560" s="679"/>
      <c r="E560" s="679"/>
      <c r="F560" s="679"/>
      <c r="G560" s="679"/>
      <c r="H560" s="679"/>
      <c r="I560" s="679"/>
      <c r="J560" s="679"/>
      <c r="K560" s="679"/>
      <c r="L560" s="679"/>
      <c r="M560" s="679"/>
    </row>
    <row r="561" spans="1:13" ht="12.75">
      <c r="A561" s="678"/>
      <c r="B561" s="679"/>
      <c r="C561" s="679"/>
      <c r="D561" s="679"/>
      <c r="E561" s="679"/>
      <c r="F561" s="679"/>
      <c r="G561" s="679"/>
      <c r="H561" s="679"/>
      <c r="I561" s="679"/>
      <c r="J561" s="679"/>
      <c r="K561" s="679"/>
      <c r="L561" s="679"/>
      <c r="M561" s="679"/>
    </row>
    <row r="562" spans="1:13" ht="12.75">
      <c r="A562" s="678"/>
      <c r="B562" s="679"/>
      <c r="C562" s="679"/>
      <c r="D562" s="679"/>
      <c r="E562" s="679"/>
      <c r="F562" s="679"/>
      <c r="G562" s="679"/>
      <c r="H562" s="679"/>
      <c r="I562" s="679"/>
      <c r="J562" s="679"/>
      <c r="K562" s="679"/>
      <c r="L562" s="679"/>
      <c r="M562" s="679"/>
    </row>
    <row r="563" spans="1:13" ht="12.75">
      <c r="A563" s="678"/>
      <c r="B563" s="679"/>
      <c r="C563" s="679"/>
      <c r="D563" s="679"/>
      <c r="E563" s="679"/>
      <c r="F563" s="679"/>
      <c r="G563" s="679"/>
      <c r="H563" s="679"/>
      <c r="I563" s="679"/>
      <c r="J563" s="679"/>
      <c r="K563" s="679"/>
      <c r="L563" s="679"/>
      <c r="M563" s="679"/>
    </row>
    <row r="564" spans="1:13" ht="12.75">
      <c r="A564" s="678"/>
      <c r="B564" s="679"/>
      <c r="C564" s="679"/>
      <c r="D564" s="679"/>
      <c r="E564" s="679"/>
      <c r="F564" s="679"/>
      <c r="G564" s="679"/>
      <c r="H564" s="679"/>
      <c r="I564" s="679"/>
      <c r="J564" s="679"/>
      <c r="K564" s="679"/>
      <c r="L564" s="679"/>
      <c r="M564" s="679"/>
    </row>
    <row r="565" spans="1:13" ht="12.75">
      <c r="A565" s="678"/>
      <c r="B565" s="679"/>
      <c r="C565" s="679"/>
      <c r="D565" s="679"/>
      <c r="E565" s="679"/>
      <c r="F565" s="679"/>
      <c r="G565" s="679"/>
      <c r="H565" s="679"/>
      <c r="I565" s="679"/>
      <c r="J565" s="679"/>
      <c r="K565" s="679"/>
      <c r="L565" s="679"/>
      <c r="M565" s="679"/>
    </row>
    <row r="566" spans="1:13" ht="12.75">
      <c r="A566" s="678"/>
      <c r="B566" s="679"/>
      <c r="C566" s="679"/>
      <c r="D566" s="679"/>
      <c r="E566" s="679"/>
      <c r="F566" s="679"/>
      <c r="G566" s="679"/>
      <c r="H566" s="679"/>
      <c r="I566" s="679"/>
      <c r="J566" s="679"/>
      <c r="K566" s="679"/>
      <c r="L566" s="679"/>
      <c r="M566" s="679"/>
    </row>
    <row r="567" spans="1:13" ht="12.75">
      <c r="A567" s="678"/>
      <c r="B567" s="679"/>
      <c r="C567" s="679"/>
      <c r="D567" s="679"/>
      <c r="E567" s="679"/>
      <c r="F567" s="679"/>
      <c r="G567" s="679"/>
      <c r="H567" s="679"/>
      <c r="I567" s="679"/>
      <c r="J567" s="679"/>
      <c r="K567" s="679"/>
      <c r="L567" s="679"/>
      <c r="M567" s="679"/>
    </row>
    <row r="568" spans="1:13" ht="12.75">
      <c r="A568" s="678"/>
      <c r="B568" s="679"/>
      <c r="C568" s="679"/>
      <c r="D568" s="679"/>
      <c r="E568" s="679"/>
      <c r="F568" s="679"/>
      <c r="G568" s="679"/>
      <c r="H568" s="679"/>
      <c r="I568" s="679"/>
      <c r="J568" s="679"/>
      <c r="K568" s="679"/>
      <c r="L568" s="679"/>
      <c r="M568" s="679"/>
    </row>
    <row r="569" spans="1:13" ht="12.75">
      <c r="A569" s="678"/>
      <c r="B569" s="679"/>
      <c r="C569" s="679"/>
      <c r="D569" s="679"/>
      <c r="E569" s="679"/>
      <c r="F569" s="679"/>
      <c r="G569" s="679"/>
      <c r="H569" s="679"/>
      <c r="I569" s="679"/>
      <c r="J569" s="679"/>
      <c r="K569" s="679"/>
      <c r="L569" s="679"/>
      <c r="M569" s="679"/>
    </row>
    <row r="570" spans="1:13" ht="12.75">
      <c r="A570" s="678"/>
      <c r="B570" s="679"/>
      <c r="C570" s="679"/>
      <c r="D570" s="679"/>
      <c r="E570" s="679"/>
      <c r="F570" s="679"/>
      <c r="G570" s="679"/>
      <c r="H570" s="679"/>
      <c r="I570" s="679"/>
      <c r="J570" s="679"/>
      <c r="K570" s="679"/>
      <c r="L570" s="679"/>
      <c r="M570" s="679"/>
    </row>
    <row r="571" spans="1:13" ht="12.75">
      <c r="A571" s="678"/>
      <c r="B571" s="679"/>
      <c r="C571" s="679"/>
      <c r="D571" s="679"/>
      <c r="E571" s="679"/>
      <c r="F571" s="679"/>
      <c r="G571" s="679"/>
      <c r="H571" s="679"/>
      <c r="I571" s="679"/>
      <c r="J571" s="679"/>
      <c r="K571" s="679"/>
      <c r="L571" s="679"/>
      <c r="M571" s="679"/>
    </row>
    <row r="572" spans="1:13" ht="12.75">
      <c r="A572" s="678"/>
      <c r="B572" s="679"/>
      <c r="C572" s="679"/>
      <c r="D572" s="679"/>
      <c r="E572" s="679"/>
      <c r="F572" s="679"/>
      <c r="G572" s="679"/>
      <c r="H572" s="679"/>
      <c r="I572" s="679"/>
      <c r="J572" s="679"/>
      <c r="K572" s="679"/>
      <c r="L572" s="679"/>
      <c r="M572" s="679"/>
    </row>
    <row r="573" spans="1:13" ht="12.75">
      <c r="A573" s="678"/>
      <c r="B573" s="679"/>
      <c r="C573" s="679"/>
      <c r="D573" s="679"/>
      <c r="E573" s="679"/>
      <c r="F573" s="679"/>
      <c r="G573" s="679"/>
      <c r="H573" s="679"/>
      <c r="I573" s="679"/>
      <c r="J573" s="679"/>
      <c r="K573" s="679"/>
      <c r="L573" s="679"/>
      <c r="M573" s="679"/>
    </row>
    <row r="574" spans="1:13" ht="12.75">
      <c r="A574" s="678"/>
      <c r="B574" s="679"/>
      <c r="C574" s="679"/>
      <c r="D574" s="679"/>
      <c r="E574" s="679"/>
      <c r="F574" s="679"/>
      <c r="G574" s="679"/>
      <c r="H574" s="679"/>
      <c r="I574" s="679"/>
      <c r="J574" s="679"/>
      <c r="K574" s="679"/>
      <c r="L574" s="679"/>
      <c r="M574" s="679"/>
    </row>
    <row r="575" spans="1:13" ht="12.75">
      <c r="A575" s="678"/>
      <c r="B575" s="679"/>
      <c r="C575" s="679"/>
      <c r="D575" s="679"/>
      <c r="E575" s="679"/>
      <c r="F575" s="679"/>
      <c r="G575" s="679"/>
      <c r="H575" s="679"/>
      <c r="I575" s="679"/>
      <c r="J575" s="679"/>
      <c r="K575" s="679"/>
      <c r="L575" s="679"/>
      <c r="M575" s="679"/>
    </row>
    <row r="576" spans="1:13" ht="12.75">
      <c r="A576" s="678"/>
      <c r="B576" s="679"/>
      <c r="C576" s="679"/>
      <c r="D576" s="679"/>
      <c r="E576" s="679"/>
      <c r="F576" s="679"/>
      <c r="G576" s="679"/>
      <c r="H576" s="679"/>
      <c r="I576" s="679"/>
      <c r="J576" s="679"/>
      <c r="K576" s="679"/>
      <c r="L576" s="679"/>
      <c r="M576" s="679"/>
    </row>
    <row r="577" spans="1:13" ht="12.75">
      <c r="A577" s="678"/>
      <c r="B577" s="679"/>
      <c r="C577" s="679"/>
      <c r="D577" s="679"/>
      <c r="E577" s="679"/>
      <c r="F577" s="679"/>
      <c r="G577" s="679"/>
      <c r="H577" s="679"/>
      <c r="I577" s="679"/>
      <c r="J577" s="679"/>
      <c r="K577" s="679"/>
      <c r="L577" s="679"/>
      <c r="M577" s="679"/>
    </row>
    <row r="578" spans="1:13" ht="12.75">
      <c r="A578" s="678"/>
      <c r="B578" s="679"/>
      <c r="C578" s="679"/>
      <c r="D578" s="679"/>
      <c r="E578" s="679"/>
      <c r="F578" s="679"/>
      <c r="G578" s="679"/>
      <c r="H578" s="679"/>
      <c r="I578" s="679"/>
      <c r="J578" s="679"/>
      <c r="K578" s="679"/>
      <c r="L578" s="679"/>
      <c r="M578" s="679"/>
    </row>
    <row r="579" spans="1:13" ht="12.75">
      <c r="A579" s="678"/>
      <c r="B579" s="679"/>
      <c r="C579" s="679"/>
      <c r="D579" s="679"/>
      <c r="E579" s="679"/>
      <c r="F579" s="679"/>
      <c r="G579" s="679"/>
      <c r="H579" s="679"/>
      <c r="I579" s="679"/>
      <c r="J579" s="679"/>
      <c r="K579" s="679"/>
      <c r="L579" s="679"/>
      <c r="M579" s="679"/>
    </row>
    <row r="580" spans="1:13" ht="12.75">
      <c r="A580" s="678"/>
      <c r="B580" s="679"/>
      <c r="C580" s="679"/>
      <c r="D580" s="679"/>
      <c r="E580" s="679"/>
      <c r="F580" s="679"/>
      <c r="G580" s="679"/>
      <c r="H580" s="679"/>
      <c r="I580" s="679"/>
      <c r="J580" s="679"/>
      <c r="K580" s="679"/>
      <c r="L580" s="679"/>
      <c r="M580" s="679"/>
    </row>
    <row r="581" spans="1:13" ht="12.75">
      <c r="A581" s="678"/>
      <c r="B581" s="679"/>
      <c r="C581" s="679"/>
      <c r="D581" s="679"/>
      <c r="E581" s="679"/>
      <c r="F581" s="679"/>
      <c r="G581" s="679"/>
      <c r="H581" s="679"/>
      <c r="I581" s="679"/>
      <c r="J581" s="679"/>
      <c r="K581" s="679"/>
      <c r="L581" s="679"/>
      <c r="M581" s="679"/>
    </row>
    <row r="582" spans="1:13" ht="12.75">
      <c r="A582" s="678"/>
      <c r="B582" s="679"/>
      <c r="C582" s="679"/>
      <c r="D582" s="679"/>
      <c r="E582" s="679"/>
      <c r="F582" s="679"/>
      <c r="G582" s="679"/>
      <c r="H582" s="679"/>
      <c r="I582" s="679"/>
      <c r="J582" s="679"/>
      <c r="K582" s="679"/>
      <c r="L582" s="679"/>
      <c r="M582" s="679"/>
    </row>
    <row r="583" spans="1:13" ht="12.75">
      <c r="A583" s="678"/>
      <c r="B583" s="679"/>
      <c r="C583" s="679"/>
      <c r="D583" s="679"/>
      <c r="E583" s="679"/>
      <c r="F583" s="679"/>
      <c r="G583" s="679"/>
      <c r="H583" s="679"/>
      <c r="I583" s="679"/>
      <c r="J583" s="679"/>
      <c r="K583" s="679"/>
      <c r="L583" s="679"/>
      <c r="M583" s="679"/>
    </row>
    <row r="584" spans="1:13" ht="12.75">
      <c r="A584" s="678"/>
      <c r="B584" s="679"/>
      <c r="C584" s="679"/>
      <c r="D584" s="679"/>
      <c r="E584" s="679"/>
      <c r="F584" s="679"/>
      <c r="G584" s="679"/>
      <c r="H584" s="679"/>
      <c r="I584" s="679"/>
      <c r="J584" s="679"/>
      <c r="K584" s="679"/>
      <c r="L584" s="679"/>
      <c r="M584" s="679"/>
    </row>
    <row r="585" spans="1:13" ht="12.75">
      <c r="A585" s="678"/>
      <c r="B585" s="679"/>
      <c r="C585" s="679"/>
      <c r="D585" s="679"/>
      <c r="E585" s="679"/>
      <c r="F585" s="679"/>
      <c r="G585" s="679"/>
      <c r="H585" s="679"/>
      <c r="I585" s="679"/>
      <c r="J585" s="679"/>
      <c r="K585" s="679"/>
      <c r="L585" s="679"/>
      <c r="M585" s="679"/>
    </row>
    <row r="586" spans="1:13" ht="12.75">
      <c r="A586" s="678"/>
      <c r="B586" s="679"/>
      <c r="C586" s="679"/>
      <c r="D586" s="679"/>
      <c r="E586" s="679"/>
      <c r="F586" s="679"/>
      <c r="G586" s="679"/>
      <c r="H586" s="679"/>
      <c r="I586" s="679"/>
      <c r="J586" s="679"/>
      <c r="K586" s="679"/>
      <c r="L586" s="679"/>
      <c r="M586" s="679"/>
    </row>
    <row r="587" spans="1:13" ht="12.75">
      <c r="A587" s="678"/>
      <c r="B587" s="679"/>
      <c r="C587" s="679"/>
      <c r="D587" s="679"/>
      <c r="E587" s="679"/>
      <c r="F587" s="679"/>
      <c r="G587" s="679"/>
      <c r="H587" s="679"/>
      <c r="I587" s="679"/>
      <c r="J587" s="679"/>
      <c r="K587" s="679"/>
      <c r="L587" s="679"/>
      <c r="M587" s="679"/>
    </row>
    <row r="588" spans="1:13" ht="12.75">
      <c r="A588" s="678"/>
      <c r="B588" s="679"/>
      <c r="C588" s="679"/>
      <c r="D588" s="679"/>
      <c r="E588" s="679"/>
      <c r="F588" s="679"/>
      <c r="G588" s="679"/>
      <c r="H588" s="679"/>
      <c r="I588" s="679"/>
      <c r="J588" s="679"/>
      <c r="K588" s="679"/>
      <c r="L588" s="679"/>
      <c r="M588" s="679"/>
    </row>
    <row r="589" spans="1:13" ht="12.75">
      <c r="A589" s="678"/>
      <c r="B589" s="679"/>
      <c r="C589" s="679"/>
      <c r="D589" s="679"/>
      <c r="E589" s="679"/>
      <c r="F589" s="679"/>
      <c r="G589" s="679"/>
      <c r="H589" s="679"/>
      <c r="I589" s="679"/>
      <c r="J589" s="679"/>
      <c r="K589" s="679"/>
      <c r="L589" s="679"/>
      <c r="M589" s="679"/>
    </row>
    <row r="590" spans="1:13" ht="12.75">
      <c r="A590" s="678"/>
      <c r="B590" s="679"/>
      <c r="C590" s="679"/>
      <c r="D590" s="679"/>
      <c r="E590" s="679"/>
      <c r="F590" s="679"/>
      <c r="G590" s="679"/>
      <c r="H590" s="679"/>
      <c r="I590" s="679"/>
      <c r="J590" s="679"/>
      <c r="K590" s="679"/>
      <c r="L590" s="679"/>
      <c r="M590" s="679"/>
    </row>
    <row r="591" spans="1:13" ht="12.75">
      <c r="A591" s="678"/>
      <c r="B591" s="679"/>
      <c r="C591" s="679"/>
      <c r="D591" s="679"/>
      <c r="E591" s="679"/>
      <c r="F591" s="679"/>
      <c r="G591" s="679"/>
      <c r="H591" s="679"/>
      <c r="I591" s="679"/>
      <c r="J591" s="679"/>
      <c r="K591" s="679"/>
      <c r="L591" s="679"/>
      <c r="M591" s="679"/>
    </row>
    <row r="592" spans="1:13" ht="12.75">
      <c r="A592" s="678"/>
      <c r="B592" s="679"/>
      <c r="C592" s="679"/>
      <c r="D592" s="679"/>
      <c r="E592" s="679"/>
      <c r="F592" s="679"/>
      <c r="G592" s="679"/>
      <c r="H592" s="679"/>
      <c r="I592" s="679"/>
      <c r="J592" s="679"/>
      <c r="K592" s="679"/>
      <c r="L592" s="679"/>
      <c r="M592" s="679"/>
    </row>
    <row r="593" spans="1:13" ht="12.75">
      <c r="A593" s="678"/>
      <c r="B593" s="679"/>
      <c r="C593" s="679"/>
      <c r="D593" s="679"/>
      <c r="E593" s="679"/>
      <c r="F593" s="679"/>
      <c r="G593" s="679"/>
      <c r="H593" s="679"/>
      <c r="I593" s="679"/>
      <c r="J593" s="679"/>
      <c r="K593" s="679"/>
      <c r="L593" s="679"/>
      <c r="M593" s="679"/>
    </row>
    <row r="594" spans="1:13" ht="12.75">
      <c r="A594" s="678"/>
      <c r="B594" s="679"/>
      <c r="C594" s="679"/>
      <c r="D594" s="679"/>
      <c r="E594" s="679"/>
      <c r="F594" s="679"/>
      <c r="G594" s="679"/>
      <c r="H594" s="679"/>
      <c r="I594" s="679"/>
      <c r="J594" s="679"/>
      <c r="K594" s="679"/>
      <c r="L594" s="679"/>
      <c r="M594" s="679"/>
    </row>
    <row r="595" spans="1:13" ht="12.75">
      <c r="A595" s="678"/>
      <c r="B595" s="679"/>
      <c r="C595" s="679"/>
      <c r="D595" s="679"/>
      <c r="E595" s="679"/>
      <c r="F595" s="679"/>
      <c r="G595" s="679"/>
      <c r="H595" s="679"/>
      <c r="I595" s="679"/>
      <c r="J595" s="679"/>
      <c r="K595" s="679"/>
      <c r="L595" s="679"/>
      <c r="M595" s="679"/>
    </row>
    <row r="596" spans="1:13" ht="12.75">
      <c r="A596" s="678"/>
      <c r="B596" s="679"/>
      <c r="C596" s="679"/>
      <c r="D596" s="679"/>
      <c r="E596" s="679"/>
      <c r="F596" s="679"/>
      <c r="G596" s="679"/>
      <c r="H596" s="679"/>
      <c r="I596" s="679"/>
      <c r="J596" s="679"/>
      <c r="K596" s="679"/>
      <c r="L596" s="679"/>
      <c r="M596" s="679"/>
    </row>
    <row r="597" spans="1:13" ht="12.75">
      <c r="A597" s="678"/>
      <c r="B597" s="679"/>
      <c r="C597" s="679"/>
      <c r="D597" s="679"/>
      <c r="E597" s="679"/>
      <c r="F597" s="679"/>
      <c r="G597" s="679"/>
      <c r="H597" s="679"/>
      <c r="I597" s="679"/>
      <c r="J597" s="679"/>
      <c r="K597" s="679"/>
      <c r="L597" s="679"/>
      <c r="M597" s="679"/>
    </row>
    <row r="598" spans="1:13" ht="12.75">
      <c r="A598" s="678"/>
      <c r="B598" s="679"/>
      <c r="C598" s="679"/>
      <c r="D598" s="679"/>
      <c r="E598" s="679"/>
      <c r="F598" s="679"/>
      <c r="G598" s="679"/>
      <c r="H598" s="679"/>
      <c r="I598" s="679"/>
      <c r="J598" s="679"/>
      <c r="K598" s="679"/>
      <c r="L598" s="679"/>
      <c r="M598" s="679"/>
    </row>
    <row r="599" spans="1:13" ht="12.75">
      <c r="A599" s="678"/>
      <c r="B599" s="679"/>
      <c r="C599" s="679"/>
      <c r="D599" s="679"/>
      <c r="E599" s="679"/>
      <c r="F599" s="679"/>
      <c r="G599" s="679"/>
      <c r="H599" s="679"/>
      <c r="I599" s="679"/>
      <c r="J599" s="679"/>
      <c r="K599" s="679"/>
      <c r="L599" s="679"/>
      <c r="M599" s="679"/>
    </row>
    <row r="600" spans="1:13" ht="12.75">
      <c r="A600" s="678"/>
      <c r="B600" s="679"/>
      <c r="C600" s="679"/>
      <c r="D600" s="679"/>
      <c r="E600" s="679"/>
      <c r="F600" s="679"/>
      <c r="G600" s="679"/>
      <c r="H600" s="679"/>
      <c r="I600" s="679"/>
      <c r="J600" s="679"/>
      <c r="K600" s="679"/>
      <c r="L600" s="679"/>
      <c r="M600" s="679"/>
    </row>
    <row r="601" spans="1:13" ht="12.75">
      <c r="A601" s="678"/>
      <c r="B601" s="679"/>
      <c r="C601" s="679"/>
      <c r="D601" s="679"/>
      <c r="E601" s="679"/>
      <c r="F601" s="679"/>
      <c r="G601" s="679"/>
      <c r="H601" s="679"/>
      <c r="I601" s="679"/>
      <c r="J601" s="679"/>
      <c r="K601" s="679"/>
      <c r="L601" s="679"/>
      <c r="M601" s="679"/>
    </row>
    <row r="602" spans="1:13" ht="12.75">
      <c r="A602" s="678"/>
      <c r="B602" s="679"/>
      <c r="C602" s="679"/>
      <c r="D602" s="679"/>
      <c r="E602" s="679"/>
      <c r="F602" s="679"/>
      <c r="G602" s="679"/>
      <c r="H602" s="679"/>
      <c r="I602" s="679"/>
      <c r="J602" s="679"/>
      <c r="K602" s="679"/>
      <c r="L602" s="679"/>
      <c r="M602" s="679"/>
    </row>
    <row r="603" spans="1:13" ht="12.75">
      <c r="A603" s="678"/>
      <c r="B603" s="679"/>
      <c r="C603" s="679"/>
      <c r="D603" s="679"/>
      <c r="E603" s="679"/>
      <c r="F603" s="679"/>
      <c r="G603" s="679"/>
      <c r="H603" s="679"/>
      <c r="I603" s="679"/>
      <c r="J603" s="679"/>
      <c r="K603" s="679"/>
      <c r="L603" s="679"/>
      <c r="M603" s="679"/>
    </row>
    <row r="604" spans="1:13" ht="12.75">
      <c r="A604" s="678"/>
      <c r="B604" s="679"/>
      <c r="C604" s="679"/>
      <c r="D604" s="679"/>
      <c r="E604" s="679"/>
      <c r="F604" s="679"/>
      <c r="G604" s="679"/>
      <c r="H604" s="679"/>
      <c r="I604" s="679"/>
      <c r="J604" s="679"/>
      <c r="K604" s="679"/>
      <c r="L604" s="679"/>
      <c r="M604" s="679"/>
    </row>
    <row r="605" spans="1:13" ht="12.75">
      <c r="A605" s="678"/>
      <c r="B605" s="679"/>
      <c r="C605" s="679"/>
      <c r="D605" s="679"/>
      <c r="E605" s="679"/>
      <c r="F605" s="679"/>
      <c r="G605" s="679"/>
      <c r="H605" s="679"/>
      <c r="I605" s="679"/>
      <c r="J605" s="679"/>
      <c r="K605" s="679"/>
      <c r="L605" s="679"/>
      <c r="M605" s="679"/>
    </row>
    <row r="606" spans="1:13" ht="12.75">
      <c r="A606" s="678"/>
      <c r="B606" s="679"/>
      <c r="C606" s="679"/>
      <c r="D606" s="679"/>
      <c r="E606" s="679"/>
      <c r="F606" s="679"/>
      <c r="G606" s="679"/>
      <c r="H606" s="679"/>
      <c r="I606" s="679"/>
      <c r="J606" s="679"/>
      <c r="K606" s="679"/>
      <c r="L606" s="679"/>
      <c r="M606" s="679"/>
    </row>
    <row r="607" spans="1:13" ht="12.75">
      <c r="A607" s="678"/>
      <c r="B607" s="679"/>
      <c r="C607" s="679"/>
      <c r="D607" s="679"/>
      <c r="E607" s="679"/>
      <c r="F607" s="679"/>
      <c r="G607" s="679"/>
      <c r="H607" s="679"/>
      <c r="I607" s="679"/>
      <c r="J607" s="679"/>
      <c r="K607" s="679"/>
      <c r="L607" s="679"/>
      <c r="M607" s="679"/>
    </row>
    <row r="608" spans="1:13" ht="12.75">
      <c r="A608" s="678"/>
      <c r="B608" s="679"/>
      <c r="C608" s="679"/>
      <c r="D608" s="679"/>
      <c r="E608" s="679"/>
      <c r="F608" s="679"/>
      <c r="G608" s="679"/>
      <c r="H608" s="679"/>
      <c r="I608" s="679"/>
      <c r="J608" s="679"/>
      <c r="K608" s="679"/>
      <c r="L608" s="679"/>
      <c r="M608" s="679"/>
    </row>
    <row r="609" spans="1:13" ht="12.75">
      <c r="A609" s="678"/>
      <c r="B609" s="679"/>
      <c r="C609" s="679"/>
      <c r="D609" s="679"/>
      <c r="E609" s="679"/>
      <c r="F609" s="679"/>
      <c r="G609" s="679"/>
      <c r="H609" s="679"/>
      <c r="I609" s="679"/>
      <c r="J609" s="679"/>
      <c r="K609" s="679"/>
      <c r="L609" s="679"/>
      <c r="M609" s="679"/>
    </row>
    <row r="610" spans="1:13" ht="12.75">
      <c r="A610" s="678"/>
      <c r="B610" s="679"/>
      <c r="C610" s="679"/>
      <c r="D610" s="679"/>
      <c r="E610" s="679"/>
      <c r="F610" s="679"/>
      <c r="G610" s="679"/>
      <c r="H610" s="679"/>
      <c r="I610" s="679"/>
      <c r="J610" s="679"/>
      <c r="K610" s="679"/>
      <c r="L610" s="679"/>
      <c r="M610" s="679"/>
    </row>
    <row r="611" spans="1:13" ht="12.75">
      <c r="A611" s="678"/>
      <c r="B611" s="679"/>
      <c r="C611" s="679"/>
      <c r="D611" s="679"/>
      <c r="E611" s="679"/>
      <c r="F611" s="679"/>
      <c r="G611" s="679"/>
      <c r="H611" s="679"/>
      <c r="I611" s="679"/>
      <c r="J611" s="679"/>
      <c r="K611" s="679"/>
      <c r="L611" s="679"/>
      <c r="M611" s="679"/>
    </row>
    <row r="612" spans="1:13" ht="12.75">
      <c r="A612" s="678"/>
      <c r="B612" s="679"/>
      <c r="C612" s="679"/>
      <c r="D612" s="679"/>
      <c r="E612" s="679"/>
      <c r="F612" s="679"/>
      <c r="G612" s="679"/>
      <c r="H612" s="679"/>
      <c r="I612" s="679"/>
      <c r="J612" s="679"/>
      <c r="K612" s="679"/>
      <c r="L612" s="679"/>
      <c r="M612" s="679"/>
    </row>
    <row r="613" spans="1:13" ht="12.75">
      <c r="A613" s="678"/>
      <c r="B613" s="679"/>
      <c r="C613" s="679"/>
      <c r="D613" s="679"/>
      <c r="E613" s="679"/>
      <c r="F613" s="679"/>
      <c r="G613" s="679"/>
      <c r="H613" s="679"/>
      <c r="I613" s="679"/>
      <c r="J613" s="679"/>
      <c r="K613" s="679"/>
      <c r="L613" s="679"/>
      <c r="M613" s="679"/>
    </row>
    <row r="614" spans="1:13" ht="12.75">
      <c r="A614" s="678"/>
      <c r="B614" s="679"/>
      <c r="C614" s="679"/>
      <c r="D614" s="679"/>
      <c r="E614" s="679"/>
      <c r="F614" s="679"/>
      <c r="G614" s="679"/>
      <c r="H614" s="679"/>
      <c r="I614" s="679"/>
      <c r="J614" s="679"/>
      <c r="K614" s="679"/>
      <c r="L614" s="679"/>
      <c r="M614" s="679"/>
    </row>
    <row r="615" spans="1:13" ht="12.75">
      <c r="A615" s="678"/>
      <c r="B615" s="679"/>
      <c r="C615" s="679"/>
      <c r="D615" s="679"/>
      <c r="E615" s="679"/>
      <c r="F615" s="679"/>
      <c r="G615" s="679"/>
      <c r="H615" s="679"/>
      <c r="I615" s="679"/>
      <c r="J615" s="679"/>
      <c r="K615" s="679"/>
      <c r="L615" s="679"/>
      <c r="M615" s="679"/>
    </row>
    <row r="616" spans="1:13" ht="12.75">
      <c r="A616" s="678"/>
      <c r="B616" s="679"/>
      <c r="C616" s="679"/>
      <c r="D616" s="679"/>
      <c r="E616" s="679"/>
      <c r="F616" s="679"/>
      <c r="G616" s="679"/>
      <c r="H616" s="679"/>
      <c r="I616" s="679"/>
      <c r="J616" s="679"/>
      <c r="K616" s="679"/>
      <c r="L616" s="679"/>
      <c r="M616" s="679"/>
    </row>
    <row r="617" spans="1:13" ht="12.75">
      <c r="A617" s="678"/>
      <c r="B617" s="679"/>
      <c r="C617" s="679"/>
      <c r="D617" s="679"/>
      <c r="E617" s="679"/>
      <c r="F617" s="679"/>
      <c r="G617" s="679"/>
      <c r="H617" s="679"/>
      <c r="I617" s="679"/>
      <c r="J617" s="679"/>
      <c r="K617" s="679"/>
      <c r="L617" s="679"/>
      <c r="M617" s="679"/>
    </row>
    <row r="618" spans="1:13" ht="12.75">
      <c r="A618" s="678"/>
      <c r="B618" s="679"/>
      <c r="C618" s="679"/>
      <c r="D618" s="679"/>
      <c r="E618" s="679"/>
      <c r="F618" s="679"/>
      <c r="G618" s="679"/>
      <c r="H618" s="679"/>
      <c r="I618" s="679"/>
      <c r="J618" s="679"/>
      <c r="K618" s="679"/>
      <c r="L618" s="679"/>
      <c r="M618" s="679"/>
    </row>
    <row r="619" spans="1:13" ht="12.75">
      <c r="A619" s="678"/>
      <c r="B619" s="679"/>
      <c r="C619" s="679"/>
      <c r="D619" s="679"/>
      <c r="E619" s="679"/>
      <c r="F619" s="679"/>
      <c r="G619" s="679"/>
      <c r="H619" s="679"/>
      <c r="I619" s="679"/>
      <c r="J619" s="679"/>
      <c r="K619" s="679"/>
      <c r="L619" s="679"/>
      <c r="M619" s="679"/>
    </row>
    <row r="620" spans="1:13" ht="12.75">
      <c r="A620" s="678"/>
      <c r="B620" s="679"/>
      <c r="C620" s="679"/>
      <c r="D620" s="679"/>
      <c r="E620" s="679"/>
      <c r="F620" s="679"/>
      <c r="G620" s="679"/>
      <c r="H620" s="679"/>
      <c r="I620" s="679"/>
      <c r="J620" s="679"/>
      <c r="K620" s="679"/>
      <c r="L620" s="679"/>
      <c r="M620" s="679"/>
    </row>
    <row r="621" spans="1:13" ht="12.75">
      <c r="A621" s="678"/>
      <c r="B621" s="679"/>
      <c r="C621" s="679"/>
      <c r="D621" s="679"/>
      <c r="E621" s="679"/>
      <c r="F621" s="679"/>
      <c r="G621" s="679"/>
      <c r="H621" s="679"/>
      <c r="I621" s="679"/>
      <c r="J621" s="679"/>
      <c r="K621" s="679"/>
      <c r="L621" s="679"/>
      <c r="M621" s="679"/>
    </row>
    <row r="622" spans="1:13" ht="12.75">
      <c r="A622" s="678"/>
      <c r="B622" s="679"/>
      <c r="C622" s="679"/>
      <c r="D622" s="679"/>
      <c r="E622" s="679"/>
      <c r="F622" s="679"/>
      <c r="G622" s="679"/>
      <c r="H622" s="679"/>
      <c r="I622" s="679"/>
      <c r="J622" s="679"/>
      <c r="K622" s="679"/>
      <c r="L622" s="679"/>
      <c r="M622" s="679"/>
    </row>
    <row r="623" spans="1:13" ht="12.75">
      <c r="A623" s="678"/>
      <c r="B623" s="679"/>
      <c r="C623" s="679"/>
      <c r="D623" s="679"/>
      <c r="E623" s="679"/>
      <c r="F623" s="679"/>
      <c r="G623" s="679"/>
      <c r="H623" s="679"/>
      <c r="I623" s="679"/>
      <c r="J623" s="679"/>
      <c r="K623" s="679"/>
      <c r="L623" s="679"/>
      <c r="M623" s="679"/>
    </row>
    <row r="624" spans="1:13" ht="12.75">
      <c r="A624" s="678"/>
      <c r="B624" s="679"/>
      <c r="C624" s="679"/>
      <c r="D624" s="679"/>
      <c r="E624" s="679"/>
      <c r="F624" s="679"/>
      <c r="G624" s="679"/>
      <c r="H624" s="679"/>
      <c r="I624" s="679"/>
      <c r="J624" s="679"/>
      <c r="K624" s="679"/>
      <c r="L624" s="679"/>
      <c r="M624" s="679"/>
    </row>
    <row r="625" spans="1:13" ht="12.75">
      <c r="A625" s="678"/>
      <c r="B625" s="679"/>
      <c r="C625" s="679"/>
      <c r="D625" s="679"/>
      <c r="E625" s="679"/>
      <c r="F625" s="679"/>
      <c r="G625" s="679"/>
      <c r="H625" s="679"/>
      <c r="I625" s="679"/>
      <c r="J625" s="679"/>
      <c r="K625" s="679"/>
      <c r="L625" s="679"/>
      <c r="M625" s="679"/>
    </row>
    <row r="626" spans="1:13" ht="12.75">
      <c r="A626" s="678"/>
      <c r="B626" s="679"/>
      <c r="C626" s="679"/>
      <c r="D626" s="679"/>
      <c r="E626" s="679"/>
      <c r="F626" s="679"/>
      <c r="G626" s="679"/>
      <c r="H626" s="679"/>
      <c r="I626" s="679"/>
      <c r="J626" s="679"/>
      <c r="K626" s="679"/>
      <c r="L626" s="679"/>
      <c r="M626" s="679"/>
    </row>
    <row r="627" spans="1:13" ht="12.75">
      <c r="A627" s="678"/>
      <c r="B627" s="679"/>
      <c r="C627" s="679"/>
      <c r="D627" s="679"/>
      <c r="E627" s="679"/>
      <c r="F627" s="679"/>
      <c r="G627" s="679"/>
      <c r="H627" s="679"/>
      <c r="I627" s="679"/>
      <c r="J627" s="679"/>
      <c r="K627" s="679"/>
      <c r="L627" s="679"/>
      <c r="M627" s="679"/>
    </row>
    <row r="628" spans="1:13" ht="12.75">
      <c r="A628" s="678"/>
      <c r="B628" s="679"/>
      <c r="C628" s="679"/>
      <c r="D628" s="679"/>
      <c r="E628" s="679"/>
      <c r="F628" s="679"/>
      <c r="G628" s="679"/>
      <c r="H628" s="679"/>
      <c r="I628" s="679"/>
      <c r="J628" s="679"/>
      <c r="K628" s="679"/>
      <c r="L628" s="679"/>
      <c r="M628" s="679"/>
    </row>
    <row r="629" spans="1:13" ht="12.75">
      <c r="A629" s="678"/>
      <c r="B629" s="679"/>
      <c r="C629" s="679"/>
      <c r="D629" s="679"/>
      <c r="E629" s="679"/>
      <c r="F629" s="679"/>
      <c r="G629" s="679"/>
      <c r="H629" s="679"/>
      <c r="I629" s="679"/>
      <c r="J629" s="679"/>
      <c r="K629" s="679"/>
      <c r="L629" s="679"/>
      <c r="M629" s="679"/>
    </row>
    <row r="630" spans="1:13" ht="12.75">
      <c r="A630" s="678"/>
      <c r="B630" s="679"/>
      <c r="C630" s="679"/>
      <c r="D630" s="679"/>
      <c r="E630" s="679"/>
      <c r="F630" s="679"/>
      <c r="G630" s="679"/>
      <c r="H630" s="679"/>
      <c r="I630" s="679"/>
      <c r="J630" s="679"/>
      <c r="K630" s="679"/>
      <c r="L630" s="679"/>
      <c r="M630" s="679"/>
    </row>
    <row r="631" spans="1:13" ht="12.75">
      <c r="A631" s="678"/>
      <c r="B631" s="679"/>
      <c r="C631" s="679"/>
      <c r="D631" s="679"/>
      <c r="E631" s="679"/>
      <c r="F631" s="679"/>
      <c r="G631" s="679"/>
      <c r="H631" s="679"/>
      <c r="I631" s="679"/>
      <c r="J631" s="679"/>
      <c r="K631" s="679"/>
      <c r="L631" s="679"/>
      <c r="M631" s="679"/>
    </row>
    <row r="632" spans="1:13" ht="12.75">
      <c r="A632" s="678"/>
      <c r="B632" s="679"/>
      <c r="C632" s="679"/>
      <c r="D632" s="679"/>
      <c r="E632" s="679"/>
      <c r="F632" s="679"/>
      <c r="G632" s="679"/>
      <c r="H632" s="679"/>
      <c r="I632" s="679"/>
      <c r="J632" s="679"/>
      <c r="K632" s="679"/>
      <c r="L632" s="679"/>
      <c r="M632" s="679"/>
    </row>
    <row r="633" spans="1:13" ht="12.75">
      <c r="A633" s="678"/>
      <c r="B633" s="679"/>
      <c r="C633" s="679"/>
      <c r="D633" s="679"/>
      <c r="E633" s="679"/>
      <c r="F633" s="679"/>
      <c r="G633" s="679"/>
      <c r="H633" s="679"/>
      <c r="I633" s="679"/>
      <c r="J633" s="679"/>
      <c r="K633" s="679"/>
      <c r="L633" s="679"/>
      <c r="M633" s="679"/>
    </row>
    <row r="634" spans="1:13" ht="12.75">
      <c r="A634" s="678"/>
      <c r="B634" s="679"/>
      <c r="C634" s="679"/>
      <c r="D634" s="679"/>
      <c r="E634" s="679"/>
      <c r="F634" s="679"/>
      <c r="G634" s="679"/>
      <c r="H634" s="679"/>
      <c r="I634" s="679"/>
      <c r="J634" s="679"/>
      <c r="K634" s="679"/>
      <c r="L634" s="679"/>
      <c r="M634" s="679"/>
    </row>
    <row r="635" spans="1:13" ht="12.75">
      <c r="A635" s="678"/>
      <c r="B635" s="679"/>
      <c r="C635" s="679"/>
      <c r="D635" s="679"/>
      <c r="E635" s="679"/>
      <c r="F635" s="679"/>
      <c r="G635" s="679"/>
      <c r="H635" s="679"/>
      <c r="I635" s="679"/>
      <c r="J635" s="679"/>
      <c r="K635" s="679"/>
      <c r="L635" s="679"/>
      <c r="M635" s="679"/>
    </row>
    <row r="636" spans="1:13" ht="12.75">
      <c r="A636" s="678"/>
      <c r="B636" s="679"/>
      <c r="C636" s="679"/>
      <c r="D636" s="679"/>
      <c r="E636" s="679"/>
      <c r="F636" s="679"/>
      <c r="G636" s="679"/>
      <c r="H636" s="679"/>
      <c r="I636" s="679"/>
      <c r="J636" s="679"/>
      <c r="K636" s="679"/>
      <c r="L636" s="679"/>
      <c r="M636" s="679"/>
    </row>
    <row r="637" spans="1:13" ht="12.75">
      <c r="A637" s="678"/>
      <c r="B637" s="679"/>
      <c r="C637" s="679"/>
      <c r="D637" s="679"/>
      <c r="E637" s="679"/>
      <c r="F637" s="679"/>
      <c r="G637" s="679"/>
      <c r="H637" s="679"/>
      <c r="I637" s="679"/>
      <c r="J637" s="679"/>
      <c r="K637" s="679"/>
      <c r="L637" s="679"/>
      <c r="M637" s="679"/>
    </row>
    <row r="638" spans="1:13" ht="12.75">
      <c r="A638" s="678"/>
      <c r="B638" s="679"/>
      <c r="C638" s="679"/>
      <c r="D638" s="679"/>
      <c r="E638" s="679"/>
      <c r="F638" s="679"/>
      <c r="G638" s="679"/>
      <c r="H638" s="679"/>
      <c r="I638" s="679"/>
      <c r="J638" s="679"/>
      <c r="K638" s="679"/>
      <c r="L638" s="679"/>
      <c r="M638" s="679"/>
    </row>
    <row r="639" spans="1:13" ht="12.75">
      <c r="A639" s="678"/>
      <c r="B639" s="679"/>
      <c r="C639" s="679"/>
      <c r="D639" s="679"/>
      <c r="E639" s="679"/>
      <c r="F639" s="679"/>
      <c r="G639" s="679"/>
      <c r="H639" s="679"/>
      <c r="I639" s="679"/>
      <c r="J639" s="679"/>
      <c r="K639" s="679"/>
      <c r="L639" s="679"/>
      <c r="M639" s="679"/>
    </row>
    <row r="640" spans="1:13" ht="12.75">
      <c r="A640" s="678"/>
      <c r="B640" s="679"/>
      <c r="C640" s="679"/>
      <c r="D640" s="679"/>
      <c r="E640" s="679"/>
      <c r="F640" s="679"/>
      <c r="G640" s="679"/>
      <c r="H640" s="679"/>
      <c r="I640" s="679"/>
      <c r="J640" s="679"/>
      <c r="K640" s="679"/>
      <c r="L640" s="679"/>
      <c r="M640" s="679"/>
    </row>
    <row r="641" spans="1:13" ht="12.75">
      <c r="A641" s="678"/>
      <c r="B641" s="679"/>
      <c r="C641" s="679"/>
      <c r="D641" s="679"/>
      <c r="E641" s="679"/>
      <c r="F641" s="679"/>
      <c r="G641" s="679"/>
      <c r="H641" s="679"/>
      <c r="I641" s="679"/>
      <c r="J641" s="679"/>
      <c r="K641" s="679"/>
      <c r="L641" s="679"/>
      <c r="M641" s="679"/>
    </row>
    <row r="642" spans="1:13" ht="12.75">
      <c r="A642" s="678"/>
      <c r="B642" s="679"/>
      <c r="C642" s="679"/>
      <c r="D642" s="679"/>
      <c r="E642" s="679"/>
      <c r="F642" s="679"/>
      <c r="G642" s="679"/>
      <c r="H642" s="679"/>
      <c r="I642" s="679"/>
      <c r="J642" s="679"/>
      <c r="K642" s="679"/>
      <c r="L642" s="679"/>
      <c r="M642" s="679"/>
    </row>
    <row r="643" spans="1:13" ht="12.75">
      <c r="A643" s="678"/>
      <c r="B643" s="679"/>
      <c r="C643" s="679"/>
      <c r="D643" s="679"/>
      <c r="E643" s="679"/>
      <c r="F643" s="679"/>
      <c r="G643" s="679"/>
      <c r="H643" s="679"/>
      <c r="I643" s="679"/>
      <c r="J643" s="679"/>
      <c r="K643" s="679"/>
      <c r="L643" s="679"/>
      <c r="M643" s="679"/>
    </row>
    <row r="644" spans="1:13" ht="12.75">
      <c r="A644" s="678"/>
      <c r="B644" s="679"/>
      <c r="C644" s="679"/>
      <c r="D644" s="679"/>
      <c r="E644" s="679"/>
      <c r="F644" s="679"/>
      <c r="G644" s="679"/>
      <c r="H644" s="679"/>
      <c r="I644" s="679"/>
      <c r="J644" s="679"/>
      <c r="K644" s="679"/>
      <c r="L644" s="679"/>
      <c r="M644" s="679"/>
    </row>
    <row r="645" spans="1:13" ht="12.75">
      <c r="A645" s="678"/>
      <c r="B645" s="679"/>
      <c r="C645" s="679"/>
      <c r="D645" s="679"/>
      <c r="E645" s="679"/>
      <c r="F645" s="679"/>
      <c r="G645" s="679"/>
      <c r="H645" s="679"/>
      <c r="I645" s="679"/>
      <c r="J645" s="679"/>
      <c r="K645" s="679"/>
      <c r="L645" s="679"/>
      <c r="M645" s="679"/>
    </row>
    <row r="646" spans="1:13" ht="12.75">
      <c r="A646" s="678"/>
      <c r="B646" s="679"/>
      <c r="C646" s="679"/>
      <c r="D646" s="679"/>
      <c r="E646" s="679"/>
      <c r="F646" s="679"/>
      <c r="G646" s="679"/>
      <c r="H646" s="679"/>
      <c r="I646" s="679"/>
      <c r="J646" s="679"/>
      <c r="K646" s="679"/>
      <c r="L646" s="679"/>
      <c r="M646" s="679"/>
    </row>
    <row r="647" spans="1:13" ht="12.75">
      <c r="A647" s="678"/>
      <c r="B647" s="679"/>
      <c r="C647" s="679"/>
      <c r="D647" s="679"/>
      <c r="E647" s="679"/>
      <c r="F647" s="679"/>
      <c r="G647" s="679"/>
      <c r="H647" s="679"/>
      <c r="I647" s="679"/>
      <c r="J647" s="679"/>
      <c r="K647" s="679"/>
      <c r="L647" s="679"/>
      <c r="M647" s="679"/>
    </row>
    <row r="648" spans="1:13" ht="12.75">
      <c r="A648" s="678"/>
      <c r="B648" s="679"/>
      <c r="C648" s="679"/>
      <c r="D648" s="679"/>
      <c r="E648" s="679"/>
      <c r="F648" s="679"/>
      <c r="G648" s="679"/>
      <c r="H648" s="679"/>
      <c r="I648" s="679"/>
      <c r="J648" s="679"/>
      <c r="K648" s="679"/>
      <c r="L648" s="679"/>
      <c r="M648" s="679"/>
    </row>
    <row r="649" spans="1:13" ht="12.75">
      <c r="A649" s="678"/>
      <c r="B649" s="679"/>
      <c r="C649" s="679"/>
      <c r="D649" s="679"/>
      <c r="E649" s="679"/>
      <c r="F649" s="679"/>
      <c r="G649" s="679"/>
      <c r="H649" s="679"/>
      <c r="I649" s="679"/>
      <c r="J649" s="679"/>
      <c r="K649" s="679"/>
      <c r="L649" s="679"/>
      <c r="M649" s="679"/>
    </row>
    <row r="650" spans="1:13" ht="12.75">
      <c r="A650" s="678"/>
      <c r="B650" s="679"/>
      <c r="C650" s="679"/>
      <c r="D650" s="679"/>
      <c r="E650" s="679"/>
      <c r="F650" s="679"/>
      <c r="G650" s="679"/>
      <c r="H650" s="679"/>
      <c r="I650" s="679"/>
      <c r="J650" s="679"/>
      <c r="K650" s="679"/>
      <c r="L650" s="679"/>
      <c r="M650" s="679"/>
    </row>
    <row r="651" spans="1:13" ht="12.75">
      <c r="A651" s="678"/>
      <c r="B651" s="679"/>
      <c r="C651" s="679"/>
      <c r="D651" s="679"/>
      <c r="E651" s="679"/>
      <c r="F651" s="679"/>
      <c r="G651" s="679"/>
      <c r="H651" s="679"/>
      <c r="I651" s="679"/>
      <c r="J651" s="679"/>
      <c r="K651" s="679"/>
      <c r="L651" s="679"/>
      <c r="M651" s="679"/>
    </row>
    <row r="652" spans="1:13" ht="12.75">
      <c r="A652" s="678"/>
      <c r="B652" s="679"/>
      <c r="C652" s="679"/>
      <c r="D652" s="679"/>
      <c r="E652" s="679"/>
      <c r="F652" s="679"/>
      <c r="G652" s="679"/>
      <c r="H652" s="679"/>
      <c r="I652" s="679"/>
      <c r="J652" s="679"/>
      <c r="K652" s="679"/>
      <c r="L652" s="679"/>
      <c r="M652" s="679"/>
    </row>
    <row r="653" spans="1:13" ht="12.75">
      <c r="A653" s="678"/>
      <c r="B653" s="679"/>
      <c r="C653" s="679"/>
      <c r="D653" s="679"/>
      <c r="E653" s="679"/>
      <c r="F653" s="679"/>
      <c r="G653" s="679"/>
      <c r="H653" s="679"/>
      <c r="I653" s="679"/>
      <c r="J653" s="679"/>
      <c r="K653" s="679"/>
      <c r="L653" s="679"/>
      <c r="M653" s="679"/>
    </row>
    <row r="654" spans="1:13" ht="12.75">
      <c r="A654" s="678"/>
      <c r="B654" s="679"/>
      <c r="C654" s="679"/>
      <c r="D654" s="679"/>
      <c r="E654" s="679"/>
      <c r="F654" s="679"/>
      <c r="G654" s="679"/>
      <c r="H654" s="679"/>
      <c r="I654" s="679"/>
      <c r="J654" s="679"/>
      <c r="K654" s="679"/>
      <c r="L654" s="679"/>
      <c r="M654" s="679"/>
    </row>
    <row r="655" spans="1:13" ht="12.75">
      <c r="A655" s="678"/>
      <c r="B655" s="679"/>
      <c r="C655" s="679"/>
      <c r="D655" s="679"/>
      <c r="E655" s="679"/>
      <c r="F655" s="679"/>
      <c r="G655" s="679"/>
      <c r="H655" s="679"/>
      <c r="I655" s="679"/>
      <c r="J655" s="679"/>
      <c r="K655" s="679"/>
      <c r="L655" s="679"/>
      <c r="M655" s="679"/>
    </row>
    <row r="656" spans="1:13" ht="12.75">
      <c r="A656" s="678"/>
      <c r="B656" s="679"/>
      <c r="C656" s="679"/>
      <c r="D656" s="679"/>
      <c r="E656" s="679"/>
      <c r="F656" s="679"/>
      <c r="G656" s="679"/>
      <c r="H656" s="679"/>
      <c r="I656" s="679"/>
      <c r="J656" s="679"/>
      <c r="K656" s="679"/>
      <c r="L656" s="679"/>
      <c r="M656" s="679"/>
    </row>
    <row r="657" spans="1:13" ht="12.75">
      <c r="A657" s="678"/>
      <c r="B657" s="679"/>
      <c r="C657" s="679"/>
      <c r="D657" s="679"/>
      <c r="E657" s="679"/>
      <c r="F657" s="679"/>
      <c r="G657" s="679"/>
      <c r="H657" s="679"/>
      <c r="I657" s="679"/>
      <c r="J657" s="679"/>
      <c r="K657" s="679"/>
      <c r="L657" s="679"/>
      <c r="M657" s="679"/>
    </row>
    <row r="658" spans="1:13" ht="12.75">
      <c r="A658" s="678"/>
      <c r="B658" s="679"/>
      <c r="C658" s="679"/>
      <c r="D658" s="679"/>
      <c r="E658" s="679"/>
      <c r="F658" s="679"/>
      <c r="G658" s="679"/>
      <c r="H658" s="679"/>
      <c r="I658" s="679"/>
      <c r="J658" s="679"/>
      <c r="K658" s="679"/>
      <c r="L658" s="679"/>
      <c r="M658" s="679"/>
    </row>
    <row r="659" spans="1:13" ht="12.75">
      <c r="A659" s="678"/>
      <c r="B659" s="679"/>
      <c r="C659" s="679"/>
      <c r="D659" s="679"/>
      <c r="E659" s="679"/>
      <c r="F659" s="679"/>
      <c r="G659" s="679"/>
      <c r="H659" s="679"/>
      <c r="I659" s="679"/>
      <c r="J659" s="679"/>
      <c r="K659" s="679"/>
      <c r="L659" s="679"/>
      <c r="M659" s="679"/>
    </row>
    <row r="660" spans="1:13" ht="12.75">
      <c r="A660" s="678"/>
      <c r="B660" s="679"/>
      <c r="C660" s="679"/>
      <c r="D660" s="679"/>
      <c r="E660" s="679"/>
      <c r="F660" s="679"/>
      <c r="G660" s="679"/>
      <c r="H660" s="679"/>
      <c r="I660" s="679"/>
      <c r="J660" s="679"/>
      <c r="K660" s="679"/>
      <c r="L660" s="679"/>
      <c r="M660" s="679"/>
    </row>
    <row r="661" spans="1:13" ht="12.75">
      <c r="A661" s="678"/>
      <c r="B661" s="679"/>
      <c r="C661" s="679"/>
      <c r="D661" s="679"/>
      <c r="E661" s="679"/>
      <c r="F661" s="679"/>
      <c r="G661" s="679"/>
      <c r="H661" s="679"/>
      <c r="I661" s="679"/>
      <c r="J661" s="679"/>
      <c r="K661" s="679"/>
      <c r="L661" s="679"/>
      <c r="M661" s="679"/>
    </row>
    <row r="662" spans="1:13" ht="12.75">
      <c r="A662" s="678"/>
      <c r="B662" s="679"/>
      <c r="C662" s="679"/>
      <c r="D662" s="679"/>
      <c r="E662" s="679"/>
      <c r="F662" s="679"/>
      <c r="G662" s="679"/>
      <c r="H662" s="679"/>
      <c r="I662" s="679"/>
      <c r="J662" s="679"/>
      <c r="K662" s="679"/>
      <c r="L662" s="679"/>
      <c r="M662" s="679"/>
    </row>
    <row r="663" spans="1:13" ht="12.75">
      <c r="A663" s="678"/>
      <c r="B663" s="679"/>
      <c r="C663" s="679"/>
      <c r="D663" s="679"/>
      <c r="E663" s="679"/>
      <c r="F663" s="679"/>
      <c r="G663" s="679"/>
      <c r="H663" s="679"/>
      <c r="I663" s="679"/>
      <c r="J663" s="679"/>
      <c r="K663" s="679"/>
      <c r="L663" s="679"/>
      <c r="M663" s="679"/>
    </row>
    <row r="664" spans="1:13" ht="12.75">
      <c r="A664" s="678"/>
      <c r="B664" s="679"/>
      <c r="C664" s="679"/>
      <c r="D664" s="679"/>
      <c r="E664" s="679"/>
      <c r="F664" s="679"/>
      <c r="G664" s="679"/>
      <c r="H664" s="679"/>
      <c r="I664" s="679"/>
      <c r="J664" s="679"/>
      <c r="K664" s="679"/>
      <c r="L664" s="679"/>
      <c r="M664" s="679"/>
    </row>
    <row r="665" spans="1:13" ht="12.75">
      <c r="A665" s="678"/>
      <c r="B665" s="679"/>
      <c r="C665" s="679"/>
      <c r="D665" s="679"/>
      <c r="E665" s="679"/>
      <c r="F665" s="679"/>
      <c r="G665" s="679"/>
      <c r="H665" s="679"/>
      <c r="I665" s="679"/>
      <c r="J665" s="679"/>
      <c r="K665" s="679"/>
      <c r="L665" s="679"/>
      <c r="M665" s="679"/>
    </row>
    <row r="666" spans="1:13" ht="12.75">
      <c r="A666" s="678"/>
      <c r="B666" s="679"/>
      <c r="C666" s="679"/>
      <c r="D666" s="679"/>
      <c r="E666" s="679"/>
      <c r="F666" s="679"/>
      <c r="G666" s="679"/>
      <c r="H666" s="679"/>
      <c r="I666" s="679"/>
      <c r="J666" s="679"/>
      <c r="K666" s="679"/>
      <c r="L666" s="679"/>
      <c r="M666" s="679"/>
    </row>
    <row r="667" spans="1:13" ht="12.75">
      <c r="A667" s="678"/>
      <c r="B667" s="679"/>
      <c r="C667" s="679"/>
      <c r="D667" s="679"/>
      <c r="E667" s="679"/>
      <c r="F667" s="679"/>
      <c r="G667" s="679"/>
      <c r="H667" s="679"/>
      <c r="I667" s="679"/>
      <c r="J667" s="679"/>
      <c r="K667" s="679"/>
      <c r="L667" s="679"/>
      <c r="M667" s="679"/>
    </row>
    <row r="668" spans="1:13" ht="12.75">
      <c r="A668" s="678"/>
      <c r="B668" s="679"/>
      <c r="C668" s="679"/>
      <c r="D668" s="679"/>
      <c r="E668" s="679"/>
      <c r="F668" s="679"/>
      <c r="G668" s="679"/>
      <c r="H668" s="679"/>
      <c r="I668" s="679"/>
      <c r="J668" s="679"/>
      <c r="K668" s="679"/>
      <c r="L668" s="679"/>
      <c r="M668" s="679"/>
    </row>
    <row r="669" spans="1:13" ht="12.75">
      <c r="A669" s="678"/>
      <c r="B669" s="679"/>
      <c r="C669" s="679"/>
      <c r="D669" s="679"/>
      <c r="E669" s="679"/>
      <c r="F669" s="679"/>
      <c r="G669" s="679"/>
      <c r="H669" s="679"/>
      <c r="I669" s="679"/>
      <c r="J669" s="679"/>
      <c r="K669" s="679"/>
      <c r="L669" s="679"/>
      <c r="M669" s="679"/>
    </row>
    <row r="670" spans="1:13" ht="12.75">
      <c r="A670" s="678"/>
      <c r="B670" s="679"/>
      <c r="C670" s="679"/>
      <c r="D670" s="679"/>
      <c r="E670" s="679"/>
      <c r="F670" s="679"/>
      <c r="G670" s="679"/>
      <c r="H670" s="679"/>
      <c r="I670" s="679"/>
      <c r="J670" s="679"/>
      <c r="K670" s="679"/>
      <c r="L670" s="679"/>
      <c r="M670" s="679"/>
    </row>
    <row r="671" spans="1:13" ht="12.75">
      <c r="A671" s="678"/>
      <c r="B671" s="679"/>
      <c r="C671" s="679"/>
      <c r="D671" s="679"/>
      <c r="E671" s="679"/>
      <c r="F671" s="679"/>
      <c r="G671" s="679"/>
      <c r="H671" s="679"/>
      <c r="I671" s="679"/>
      <c r="J671" s="679"/>
      <c r="K671" s="679"/>
      <c r="L671" s="679"/>
      <c r="M671" s="679"/>
    </row>
    <row r="672" spans="1:13" ht="12.75">
      <c r="A672" s="678"/>
      <c r="B672" s="679"/>
      <c r="C672" s="679"/>
      <c r="D672" s="679"/>
      <c r="E672" s="679"/>
      <c r="F672" s="679"/>
      <c r="G672" s="679"/>
      <c r="H672" s="679"/>
      <c r="I672" s="679"/>
      <c r="J672" s="679"/>
      <c r="K672" s="679"/>
      <c r="L672" s="679"/>
      <c r="M672" s="679"/>
    </row>
    <row r="673" spans="1:13" ht="12.75">
      <c r="A673" s="678"/>
      <c r="B673" s="679"/>
      <c r="C673" s="679"/>
      <c r="D673" s="679"/>
      <c r="E673" s="679"/>
      <c r="F673" s="679"/>
      <c r="G673" s="679"/>
      <c r="H673" s="679"/>
      <c r="I673" s="679"/>
      <c r="J673" s="679"/>
      <c r="K673" s="679"/>
      <c r="L673" s="679"/>
      <c r="M673" s="679"/>
    </row>
    <row r="674" spans="1:13" ht="12.75">
      <c r="A674" s="678"/>
      <c r="B674" s="679"/>
      <c r="C674" s="679"/>
      <c r="D674" s="679"/>
      <c r="E674" s="679"/>
      <c r="F674" s="679"/>
      <c r="G674" s="679"/>
      <c r="H674" s="679"/>
      <c r="I674" s="679"/>
      <c r="J674" s="679"/>
      <c r="K674" s="679"/>
      <c r="L674" s="679"/>
      <c r="M674" s="679"/>
    </row>
    <row r="675" spans="1:13" ht="12.75">
      <c r="A675" s="678"/>
      <c r="B675" s="679"/>
      <c r="C675" s="679"/>
      <c r="D675" s="679"/>
      <c r="E675" s="679"/>
      <c r="F675" s="679"/>
      <c r="G675" s="679"/>
      <c r="H675" s="679"/>
      <c r="I675" s="679"/>
      <c r="J675" s="679"/>
      <c r="K675" s="679"/>
      <c r="L675" s="679"/>
      <c r="M675" s="679"/>
    </row>
    <row r="676" spans="1:13" ht="12.75">
      <c r="A676" s="678"/>
      <c r="B676" s="679"/>
      <c r="C676" s="679"/>
      <c r="D676" s="679"/>
      <c r="E676" s="679"/>
      <c r="F676" s="679"/>
      <c r="G676" s="679"/>
      <c r="H676" s="679"/>
      <c r="I676" s="679"/>
      <c r="J676" s="679"/>
      <c r="K676" s="679"/>
      <c r="L676" s="679"/>
      <c r="M676" s="679"/>
    </row>
    <row r="677" spans="1:13" ht="12.75">
      <c r="A677" s="678"/>
      <c r="B677" s="679"/>
      <c r="C677" s="679"/>
      <c r="D677" s="679"/>
      <c r="E677" s="679"/>
      <c r="F677" s="679"/>
      <c r="G677" s="679"/>
      <c r="H677" s="679"/>
      <c r="I677" s="679"/>
      <c r="J677" s="679"/>
      <c r="K677" s="679"/>
      <c r="L677" s="679"/>
      <c r="M677" s="679"/>
    </row>
    <row r="678" spans="1:13" ht="12.75">
      <c r="A678" s="678"/>
      <c r="B678" s="679"/>
      <c r="C678" s="679"/>
      <c r="D678" s="679"/>
      <c r="E678" s="679"/>
      <c r="F678" s="679"/>
      <c r="G678" s="679"/>
      <c r="H678" s="679"/>
      <c r="I678" s="679"/>
      <c r="J678" s="679"/>
      <c r="K678" s="679"/>
      <c r="L678" s="679"/>
      <c r="M678" s="679"/>
    </row>
    <row r="679" spans="1:13" ht="12.75">
      <c r="A679" s="678"/>
      <c r="B679" s="679"/>
      <c r="C679" s="679"/>
      <c r="D679" s="679"/>
      <c r="E679" s="679"/>
      <c r="F679" s="679"/>
      <c r="G679" s="679"/>
      <c r="H679" s="679"/>
      <c r="I679" s="679"/>
      <c r="J679" s="679"/>
      <c r="K679" s="679"/>
      <c r="L679" s="679"/>
      <c r="M679" s="679"/>
    </row>
    <row r="680" spans="1:13" ht="12.75">
      <c r="A680" s="678"/>
      <c r="B680" s="679"/>
      <c r="C680" s="679"/>
      <c r="D680" s="679"/>
      <c r="E680" s="679"/>
      <c r="F680" s="679"/>
      <c r="G680" s="679"/>
      <c r="H680" s="679"/>
      <c r="I680" s="679"/>
      <c r="J680" s="679"/>
      <c r="K680" s="679"/>
      <c r="L680" s="679"/>
      <c r="M680" s="679"/>
    </row>
    <row r="681" spans="1:13" ht="12.75">
      <c r="A681" s="678"/>
      <c r="B681" s="679"/>
      <c r="C681" s="679"/>
      <c r="D681" s="679"/>
      <c r="E681" s="679"/>
      <c r="F681" s="679"/>
      <c r="G681" s="679"/>
      <c r="H681" s="679"/>
      <c r="I681" s="679"/>
      <c r="J681" s="679"/>
      <c r="K681" s="679"/>
      <c r="L681" s="679"/>
      <c r="M681" s="679"/>
    </row>
    <row r="682" spans="1:13" ht="12.75">
      <c r="A682" s="678"/>
      <c r="B682" s="679"/>
      <c r="C682" s="679"/>
      <c r="D682" s="679"/>
      <c r="E682" s="679"/>
      <c r="F682" s="679"/>
      <c r="G682" s="679"/>
      <c r="H682" s="679"/>
      <c r="I682" s="679"/>
      <c r="J682" s="679"/>
      <c r="K682" s="679"/>
      <c r="L682" s="679"/>
      <c r="M682" s="679"/>
    </row>
    <row r="683" spans="1:13" ht="12.75">
      <c r="A683" s="678"/>
      <c r="B683" s="679"/>
      <c r="C683" s="679"/>
      <c r="D683" s="679"/>
      <c r="E683" s="679"/>
      <c r="F683" s="679"/>
      <c r="G683" s="679"/>
      <c r="H683" s="679"/>
      <c r="I683" s="679"/>
      <c r="J683" s="679"/>
      <c r="K683" s="679"/>
      <c r="L683" s="679"/>
      <c r="M683" s="679"/>
    </row>
    <row r="684" spans="1:13" ht="12.75">
      <c r="A684" s="678"/>
      <c r="B684" s="679"/>
      <c r="C684" s="679"/>
      <c r="D684" s="679"/>
      <c r="E684" s="679"/>
      <c r="F684" s="679"/>
      <c r="G684" s="679"/>
      <c r="H684" s="679"/>
      <c r="I684" s="679"/>
      <c r="J684" s="679"/>
      <c r="K684" s="679"/>
      <c r="L684" s="679"/>
      <c r="M684" s="679"/>
    </row>
    <row r="685" spans="1:13" ht="12.75">
      <c r="A685" s="678"/>
      <c r="B685" s="679"/>
      <c r="C685" s="679"/>
      <c r="D685" s="679"/>
      <c r="E685" s="679"/>
      <c r="F685" s="679"/>
      <c r="G685" s="679"/>
      <c r="H685" s="679"/>
      <c r="I685" s="679"/>
      <c r="J685" s="679"/>
      <c r="K685" s="679"/>
      <c r="L685" s="679"/>
      <c r="M685" s="679"/>
    </row>
    <row r="686" spans="1:13" ht="12.75">
      <c r="A686" s="678"/>
      <c r="B686" s="679"/>
      <c r="C686" s="679"/>
      <c r="D686" s="679"/>
      <c r="E686" s="679"/>
      <c r="F686" s="679"/>
      <c r="G686" s="679"/>
      <c r="H686" s="679"/>
      <c r="I686" s="679"/>
      <c r="J686" s="679"/>
      <c r="K686" s="679"/>
      <c r="L686" s="679"/>
      <c r="M686" s="679"/>
    </row>
    <row r="687" spans="1:13" ht="12.75">
      <c r="A687" s="678"/>
      <c r="B687" s="679"/>
      <c r="C687" s="679"/>
      <c r="D687" s="679"/>
      <c r="E687" s="679"/>
      <c r="F687" s="679"/>
      <c r="G687" s="679"/>
      <c r="H687" s="679"/>
      <c r="I687" s="679"/>
      <c r="J687" s="679"/>
      <c r="K687" s="679"/>
      <c r="L687" s="679"/>
      <c r="M687" s="679"/>
    </row>
    <row r="688" spans="1:13" ht="12.75">
      <c r="A688" s="678"/>
      <c r="B688" s="679"/>
      <c r="C688" s="679"/>
      <c r="D688" s="679"/>
      <c r="E688" s="679"/>
      <c r="F688" s="679"/>
      <c r="G688" s="679"/>
      <c r="H688" s="679"/>
      <c r="I688" s="679"/>
      <c r="J688" s="679"/>
      <c r="K688" s="679"/>
      <c r="L688" s="679"/>
      <c r="M688" s="679"/>
    </row>
    <row r="689" spans="1:13" ht="12.75">
      <c r="A689" s="678"/>
      <c r="B689" s="679"/>
      <c r="C689" s="679"/>
      <c r="D689" s="679"/>
      <c r="E689" s="679"/>
      <c r="F689" s="679"/>
      <c r="G689" s="679"/>
      <c r="H689" s="679"/>
      <c r="I689" s="679"/>
      <c r="J689" s="679"/>
      <c r="K689" s="679"/>
      <c r="L689" s="679"/>
      <c r="M689" s="679"/>
    </row>
    <row r="690" spans="1:13" ht="12.75">
      <c r="A690" s="678"/>
      <c r="B690" s="679"/>
      <c r="C690" s="679"/>
      <c r="D690" s="679"/>
      <c r="E690" s="679"/>
      <c r="F690" s="679"/>
      <c r="G690" s="679"/>
      <c r="H690" s="679"/>
      <c r="I690" s="679"/>
      <c r="J690" s="679"/>
      <c r="K690" s="679"/>
      <c r="L690" s="679"/>
      <c r="M690" s="679"/>
    </row>
    <row r="691" spans="1:13" ht="12.75">
      <c r="A691" s="678"/>
      <c r="B691" s="679"/>
      <c r="C691" s="679"/>
      <c r="D691" s="679"/>
      <c r="E691" s="679"/>
      <c r="F691" s="679"/>
      <c r="G691" s="679"/>
      <c r="H691" s="679"/>
      <c r="I691" s="679"/>
      <c r="J691" s="679"/>
      <c r="K691" s="679"/>
      <c r="L691" s="679"/>
      <c r="M691" s="679"/>
    </row>
    <row r="692" spans="1:13" ht="12.75">
      <c r="A692" s="678"/>
      <c r="B692" s="679"/>
      <c r="C692" s="679"/>
      <c r="D692" s="679"/>
      <c r="E692" s="679"/>
      <c r="F692" s="679"/>
      <c r="G692" s="679"/>
      <c r="H692" s="679"/>
      <c r="I692" s="679"/>
      <c r="J692" s="679"/>
      <c r="K692" s="679"/>
      <c r="L692" s="679"/>
      <c r="M692" s="679"/>
    </row>
    <row r="693" spans="1:13" ht="12.75">
      <c r="A693" s="678"/>
      <c r="B693" s="679"/>
      <c r="C693" s="679"/>
      <c r="D693" s="679"/>
      <c r="E693" s="679"/>
      <c r="F693" s="679"/>
      <c r="G693" s="679"/>
      <c r="H693" s="679"/>
      <c r="I693" s="679"/>
      <c r="J693" s="679"/>
      <c r="K693" s="679"/>
      <c r="L693" s="679"/>
      <c r="M693" s="679"/>
    </row>
    <row r="694" spans="1:13" ht="12.75">
      <c r="A694" s="678"/>
      <c r="B694" s="679"/>
      <c r="C694" s="679"/>
      <c r="D694" s="679"/>
      <c r="E694" s="679"/>
      <c r="F694" s="679"/>
      <c r="G694" s="679"/>
      <c r="H694" s="679"/>
      <c r="I694" s="679"/>
      <c r="J694" s="679"/>
      <c r="K694" s="679"/>
      <c r="L694" s="679"/>
      <c r="M694" s="679"/>
    </row>
    <row r="695" spans="1:13" ht="12.75">
      <c r="A695" s="678"/>
      <c r="B695" s="679"/>
      <c r="C695" s="679"/>
      <c r="D695" s="679"/>
      <c r="E695" s="679"/>
      <c r="F695" s="679"/>
      <c r="G695" s="679"/>
      <c r="H695" s="679"/>
      <c r="I695" s="679"/>
      <c r="J695" s="679"/>
      <c r="K695" s="679"/>
      <c r="L695" s="679"/>
      <c r="M695" s="679"/>
    </row>
    <row r="696" spans="1:13" ht="12.75">
      <c r="A696" s="678"/>
      <c r="B696" s="679"/>
      <c r="C696" s="679"/>
      <c r="D696" s="679"/>
      <c r="E696" s="679"/>
      <c r="F696" s="679"/>
      <c r="G696" s="679"/>
      <c r="H696" s="679"/>
      <c r="I696" s="679"/>
      <c r="J696" s="679"/>
      <c r="K696" s="679"/>
      <c r="L696" s="679"/>
      <c r="M696" s="679"/>
    </row>
    <row r="697" spans="1:13" ht="12.75">
      <c r="A697" s="678"/>
      <c r="B697" s="679"/>
      <c r="C697" s="679"/>
      <c r="D697" s="679"/>
      <c r="E697" s="679"/>
      <c r="F697" s="679"/>
      <c r="G697" s="679"/>
      <c r="H697" s="679"/>
      <c r="I697" s="679"/>
      <c r="J697" s="679"/>
      <c r="K697" s="679"/>
      <c r="L697" s="679"/>
      <c r="M697" s="679"/>
    </row>
    <row r="698" spans="1:13" ht="12.75">
      <c r="A698" s="678"/>
      <c r="B698" s="679"/>
      <c r="C698" s="679"/>
      <c r="D698" s="679"/>
      <c r="E698" s="679"/>
      <c r="F698" s="679"/>
      <c r="G698" s="679"/>
      <c r="H698" s="679"/>
      <c r="I698" s="679"/>
      <c r="J698" s="679"/>
      <c r="K698" s="679"/>
      <c r="L698" s="679"/>
      <c r="M698" s="679"/>
    </row>
    <row r="699" spans="1:13" ht="12.75">
      <c r="A699" s="678"/>
      <c r="B699" s="679"/>
      <c r="C699" s="679"/>
      <c r="D699" s="679"/>
      <c r="E699" s="679"/>
      <c r="F699" s="679"/>
      <c r="G699" s="679"/>
      <c r="H699" s="679"/>
      <c r="I699" s="679"/>
      <c r="J699" s="679"/>
      <c r="K699" s="679"/>
      <c r="L699" s="679"/>
      <c r="M699" s="679"/>
    </row>
    <row r="700" spans="1:13" ht="12.75">
      <c r="A700" s="678"/>
      <c r="B700" s="679"/>
      <c r="C700" s="679"/>
      <c r="D700" s="679"/>
      <c r="E700" s="679"/>
      <c r="F700" s="679"/>
      <c r="G700" s="679"/>
      <c r="H700" s="679"/>
      <c r="I700" s="679"/>
      <c r="J700" s="679"/>
      <c r="K700" s="679"/>
      <c r="L700" s="679"/>
      <c r="M700" s="679"/>
    </row>
    <row r="701" spans="1:13" ht="12.75">
      <c r="A701" s="678"/>
      <c r="B701" s="679"/>
      <c r="C701" s="679"/>
      <c r="D701" s="679"/>
      <c r="E701" s="679"/>
      <c r="F701" s="679"/>
      <c r="G701" s="679"/>
      <c r="H701" s="679"/>
      <c r="I701" s="679"/>
      <c r="J701" s="679"/>
      <c r="K701" s="679"/>
      <c r="L701" s="679"/>
      <c r="M701" s="679"/>
    </row>
    <row r="702" spans="1:13" ht="12.75">
      <c r="A702" s="678"/>
      <c r="B702" s="679"/>
      <c r="C702" s="679"/>
      <c r="D702" s="679"/>
      <c r="E702" s="679"/>
      <c r="F702" s="679"/>
      <c r="G702" s="679"/>
      <c r="H702" s="679"/>
      <c r="I702" s="679"/>
      <c r="J702" s="679"/>
      <c r="K702" s="679"/>
      <c r="L702" s="679"/>
      <c r="M702" s="679"/>
    </row>
    <row r="703" spans="1:13" ht="12.75">
      <c r="A703" s="678"/>
      <c r="B703" s="679"/>
      <c r="C703" s="679"/>
      <c r="D703" s="679"/>
      <c r="E703" s="679"/>
      <c r="F703" s="679"/>
      <c r="G703" s="679"/>
      <c r="H703" s="679"/>
      <c r="I703" s="679"/>
      <c r="J703" s="679"/>
      <c r="K703" s="679"/>
      <c r="L703" s="679"/>
      <c r="M703" s="679"/>
    </row>
    <row r="704" spans="1:13" ht="12.75">
      <c r="A704" s="678"/>
      <c r="B704" s="679"/>
      <c r="C704" s="679"/>
      <c r="D704" s="679"/>
      <c r="E704" s="679"/>
      <c r="F704" s="679"/>
      <c r="G704" s="679"/>
      <c r="H704" s="679"/>
      <c r="I704" s="679"/>
      <c r="J704" s="679"/>
      <c r="K704" s="679"/>
      <c r="L704" s="679"/>
      <c r="M704" s="679"/>
    </row>
    <row r="705" spans="1:13" ht="12.75">
      <c r="A705" s="678"/>
      <c r="B705" s="679"/>
      <c r="C705" s="679"/>
      <c r="D705" s="679"/>
      <c r="E705" s="679"/>
      <c r="F705" s="679"/>
      <c r="G705" s="679"/>
      <c r="H705" s="679"/>
      <c r="I705" s="679"/>
      <c r="J705" s="679"/>
      <c r="K705" s="679"/>
      <c r="L705" s="679"/>
      <c r="M705" s="679"/>
    </row>
    <row r="706" spans="1:13" ht="12.75">
      <c r="A706" s="678"/>
      <c r="B706" s="679"/>
      <c r="C706" s="679"/>
      <c r="D706" s="679"/>
      <c r="E706" s="679"/>
      <c r="F706" s="679"/>
      <c r="G706" s="679"/>
      <c r="H706" s="679"/>
      <c r="I706" s="679"/>
      <c r="J706" s="679"/>
      <c r="K706" s="679"/>
      <c r="L706" s="679"/>
      <c r="M706" s="679"/>
    </row>
    <row r="707" spans="1:13" ht="12.75">
      <c r="A707" s="678"/>
      <c r="B707" s="679"/>
      <c r="C707" s="679"/>
      <c r="D707" s="679"/>
      <c r="E707" s="679"/>
      <c r="F707" s="679"/>
      <c r="G707" s="679"/>
      <c r="H707" s="679"/>
      <c r="I707" s="679"/>
      <c r="J707" s="679"/>
      <c r="K707" s="679"/>
      <c r="L707" s="679"/>
      <c r="M707" s="679"/>
    </row>
    <row r="708" spans="1:13" ht="12.75">
      <c r="A708" s="678"/>
      <c r="B708" s="679"/>
      <c r="C708" s="679"/>
      <c r="D708" s="679"/>
      <c r="E708" s="679"/>
      <c r="F708" s="679"/>
      <c r="G708" s="679"/>
      <c r="H708" s="679"/>
      <c r="I708" s="679"/>
      <c r="J708" s="679"/>
      <c r="K708" s="679"/>
      <c r="L708" s="679"/>
      <c r="M708" s="679"/>
    </row>
    <row r="709" spans="1:13" ht="12.75">
      <c r="A709" s="678"/>
      <c r="B709" s="679"/>
      <c r="C709" s="679"/>
      <c r="D709" s="679"/>
      <c r="E709" s="679"/>
      <c r="F709" s="679"/>
      <c r="G709" s="679"/>
      <c r="H709" s="679"/>
      <c r="I709" s="679"/>
      <c r="J709" s="679"/>
      <c r="K709" s="679"/>
      <c r="L709" s="679"/>
      <c r="M709" s="679"/>
    </row>
    <row r="710" spans="1:13" ht="12.75">
      <c r="A710" s="678"/>
      <c r="B710" s="679"/>
      <c r="C710" s="679"/>
      <c r="D710" s="679"/>
      <c r="E710" s="679"/>
      <c r="F710" s="679"/>
      <c r="G710" s="679"/>
      <c r="H710" s="679"/>
      <c r="I710" s="679"/>
      <c r="J710" s="679"/>
      <c r="K710" s="679"/>
      <c r="L710" s="679"/>
      <c r="M710" s="679"/>
    </row>
    <row r="711" spans="1:13" ht="12.75">
      <c r="A711" s="678"/>
      <c r="B711" s="679"/>
      <c r="C711" s="679"/>
      <c r="D711" s="679"/>
      <c r="E711" s="679"/>
      <c r="F711" s="679"/>
      <c r="G711" s="679"/>
      <c r="H711" s="679"/>
      <c r="I711" s="679"/>
      <c r="J711" s="679"/>
      <c r="K711" s="679"/>
      <c r="L711" s="679"/>
      <c r="M711" s="679"/>
    </row>
    <row r="712" spans="1:13" ht="12.75">
      <c r="A712" s="678"/>
      <c r="B712" s="679"/>
      <c r="C712" s="679"/>
      <c r="D712" s="679"/>
      <c r="E712" s="679"/>
      <c r="F712" s="679"/>
      <c r="G712" s="679"/>
      <c r="H712" s="679"/>
      <c r="I712" s="679"/>
      <c r="J712" s="679"/>
      <c r="K712" s="679"/>
      <c r="L712" s="679"/>
      <c r="M712" s="679"/>
    </row>
    <row r="713" spans="1:13" ht="12.75">
      <c r="A713" s="678"/>
      <c r="B713" s="679"/>
      <c r="C713" s="679"/>
      <c r="D713" s="679"/>
      <c r="E713" s="679"/>
      <c r="F713" s="679"/>
      <c r="G713" s="679"/>
      <c r="H713" s="679"/>
      <c r="I713" s="679"/>
      <c r="J713" s="679"/>
      <c r="K713" s="679"/>
      <c r="L713" s="679"/>
      <c r="M713" s="679"/>
    </row>
    <row r="714" spans="1:13" ht="12.75">
      <c r="A714" s="678"/>
      <c r="B714" s="679"/>
      <c r="C714" s="679"/>
      <c r="D714" s="679"/>
      <c r="E714" s="679"/>
      <c r="F714" s="679"/>
      <c r="G714" s="679"/>
      <c r="H714" s="679"/>
      <c r="I714" s="679"/>
      <c r="J714" s="679"/>
      <c r="K714" s="679"/>
      <c r="L714" s="679"/>
      <c r="M714" s="679"/>
    </row>
    <row r="715" spans="1:13" ht="12.75">
      <c r="A715" s="678"/>
      <c r="B715" s="679"/>
      <c r="C715" s="679"/>
      <c r="D715" s="679"/>
      <c r="E715" s="679"/>
      <c r="F715" s="680"/>
      <c r="G715" s="679"/>
      <c r="H715" s="679"/>
      <c r="I715" s="679"/>
      <c r="J715" s="679"/>
      <c r="K715" s="679"/>
      <c r="L715" s="679"/>
      <c r="M715" s="679"/>
    </row>
    <row r="716" spans="1:13" ht="12.75">
      <c r="A716" s="678"/>
      <c r="B716" s="679"/>
      <c r="C716" s="679"/>
      <c r="D716" s="679"/>
      <c r="E716" s="679"/>
      <c r="F716" s="680"/>
      <c r="G716" s="679"/>
      <c r="H716" s="679"/>
      <c r="I716" s="679"/>
      <c r="J716" s="679"/>
      <c r="K716" s="679"/>
      <c r="L716" s="679"/>
      <c r="M716" s="679"/>
    </row>
    <row r="717" spans="1:13" ht="12.75">
      <c r="A717" s="678"/>
      <c r="B717" s="679"/>
      <c r="C717" s="679"/>
      <c r="D717" s="679"/>
      <c r="E717" s="679"/>
      <c r="F717" s="680"/>
      <c r="G717" s="679"/>
      <c r="H717" s="679"/>
      <c r="I717" s="679"/>
      <c r="J717" s="679"/>
      <c r="K717" s="679"/>
      <c r="L717" s="679"/>
      <c r="M717" s="679"/>
    </row>
    <row r="718" spans="1:13" ht="12.75">
      <c r="A718" s="678"/>
      <c r="B718" s="679"/>
      <c r="C718" s="679"/>
      <c r="D718" s="679"/>
      <c r="E718" s="679"/>
      <c r="F718" s="680"/>
      <c r="G718" s="679"/>
      <c r="H718" s="679"/>
      <c r="I718" s="679"/>
      <c r="J718" s="679"/>
      <c r="K718" s="679"/>
      <c r="L718" s="679"/>
      <c r="M718" s="679"/>
    </row>
    <row r="719" spans="1:13" ht="12.75">
      <c r="A719" s="678"/>
      <c r="B719" s="679"/>
      <c r="C719" s="679"/>
      <c r="D719" s="679"/>
      <c r="E719" s="679"/>
      <c r="F719" s="680"/>
      <c r="G719" s="679"/>
      <c r="H719" s="679"/>
      <c r="I719" s="679"/>
      <c r="J719" s="679"/>
      <c r="K719" s="679"/>
      <c r="L719" s="679"/>
      <c r="M719" s="679"/>
    </row>
    <row r="720" spans="1:13" ht="12.75">
      <c r="A720" s="678"/>
      <c r="B720" s="679"/>
      <c r="C720" s="679"/>
      <c r="D720" s="679"/>
      <c r="E720" s="679"/>
      <c r="F720" s="680"/>
      <c r="G720" s="679"/>
      <c r="H720" s="679"/>
      <c r="I720" s="679"/>
      <c r="J720" s="679"/>
      <c r="K720" s="679"/>
      <c r="L720" s="679"/>
      <c r="M720" s="679"/>
    </row>
    <row r="721" spans="1:13" ht="12.75">
      <c r="A721" s="678"/>
      <c r="B721" s="679"/>
      <c r="C721" s="679"/>
      <c r="D721" s="679"/>
      <c r="E721" s="679"/>
      <c r="F721" s="680"/>
      <c r="G721" s="679"/>
      <c r="H721" s="679"/>
      <c r="I721" s="679"/>
      <c r="J721" s="679"/>
      <c r="K721" s="679"/>
      <c r="L721" s="679"/>
      <c r="M721" s="679"/>
    </row>
    <row r="722" spans="1:13" ht="12.75">
      <c r="A722" s="678"/>
      <c r="B722" s="679"/>
      <c r="C722" s="679"/>
      <c r="D722" s="679"/>
      <c r="E722" s="679"/>
      <c r="F722" s="680"/>
      <c r="G722" s="679"/>
      <c r="H722" s="679"/>
      <c r="I722" s="679"/>
      <c r="J722" s="679"/>
      <c r="K722" s="679"/>
      <c r="L722" s="679"/>
      <c r="M722" s="679"/>
    </row>
    <row r="723" spans="1:13" ht="12.75">
      <c r="A723" s="678"/>
      <c r="B723" s="679"/>
      <c r="C723" s="679"/>
      <c r="D723" s="679"/>
      <c r="E723" s="679"/>
      <c r="F723" s="680"/>
      <c r="G723" s="679"/>
      <c r="H723" s="679"/>
      <c r="I723" s="679"/>
      <c r="J723" s="679"/>
      <c r="K723" s="679"/>
      <c r="L723" s="679"/>
      <c r="M723" s="679"/>
    </row>
    <row r="724" spans="1:13" ht="12.75">
      <c r="A724" s="678"/>
      <c r="B724" s="679"/>
      <c r="C724" s="679"/>
      <c r="D724" s="679"/>
      <c r="E724" s="679"/>
      <c r="F724" s="680"/>
      <c r="G724" s="679"/>
      <c r="H724" s="679"/>
      <c r="I724" s="679"/>
      <c r="J724" s="679"/>
      <c r="K724" s="679"/>
      <c r="L724" s="679"/>
      <c r="M724" s="679"/>
    </row>
    <row r="725" spans="1:13" ht="12.75">
      <c r="A725" s="678"/>
      <c r="B725" s="679"/>
      <c r="C725" s="679"/>
      <c r="D725" s="679"/>
      <c r="E725" s="679"/>
      <c r="F725" s="680"/>
      <c r="G725" s="679"/>
      <c r="H725" s="679"/>
      <c r="I725" s="679"/>
      <c r="J725" s="679"/>
      <c r="K725" s="679"/>
      <c r="L725" s="679"/>
      <c r="M725" s="679"/>
    </row>
    <row r="726" spans="1:13" ht="12.75">
      <c r="A726" s="678"/>
      <c r="B726" s="679"/>
      <c r="C726" s="679"/>
      <c r="D726" s="679"/>
      <c r="E726" s="679"/>
      <c r="F726" s="680"/>
      <c r="G726" s="679"/>
      <c r="H726" s="679"/>
      <c r="I726" s="679"/>
      <c r="J726" s="679"/>
      <c r="K726" s="679"/>
      <c r="L726" s="679"/>
      <c r="M726" s="679"/>
    </row>
    <row r="727" spans="1:13" ht="12.75">
      <c r="A727" s="678"/>
      <c r="B727" s="679"/>
      <c r="C727" s="679"/>
      <c r="D727" s="679"/>
      <c r="E727" s="679"/>
      <c r="F727" s="680"/>
      <c r="G727" s="679"/>
      <c r="H727" s="679"/>
      <c r="I727" s="679"/>
      <c r="J727" s="679"/>
      <c r="K727" s="679"/>
      <c r="L727" s="679"/>
      <c r="M727" s="679"/>
    </row>
    <row r="728" spans="1:13" ht="12.75">
      <c r="A728" s="678"/>
      <c r="B728" s="679"/>
      <c r="C728" s="679"/>
      <c r="D728" s="679"/>
      <c r="E728" s="679"/>
      <c r="F728" s="680"/>
      <c r="G728" s="679"/>
      <c r="H728" s="679"/>
      <c r="I728" s="679"/>
      <c r="J728" s="679"/>
      <c r="K728" s="679"/>
      <c r="L728" s="679"/>
      <c r="M728" s="679"/>
    </row>
    <row r="729" spans="1:13" ht="12.75">
      <c r="A729" s="678"/>
      <c r="B729" s="679"/>
      <c r="C729" s="679"/>
      <c r="D729" s="679"/>
      <c r="E729" s="679"/>
      <c r="F729" s="680"/>
      <c r="G729" s="679"/>
      <c r="H729" s="679"/>
      <c r="I729" s="679"/>
      <c r="J729" s="679"/>
      <c r="K729" s="679"/>
      <c r="L729" s="679"/>
      <c r="M729" s="679"/>
    </row>
    <row r="730" spans="1:13" ht="12.75">
      <c r="A730" s="678"/>
      <c r="B730" s="679"/>
      <c r="C730" s="679"/>
      <c r="D730" s="679"/>
      <c r="E730" s="679"/>
      <c r="F730" s="680"/>
      <c r="G730" s="679"/>
      <c r="H730" s="679"/>
      <c r="I730" s="679"/>
      <c r="J730" s="679"/>
      <c r="K730" s="679"/>
      <c r="L730" s="679"/>
      <c r="M730" s="679"/>
    </row>
    <row r="731" spans="1:13" ht="12.75">
      <c r="A731" s="678"/>
      <c r="B731" s="679"/>
      <c r="C731" s="679"/>
      <c r="D731" s="679"/>
      <c r="E731" s="679"/>
      <c r="F731" s="680"/>
      <c r="G731" s="679"/>
      <c r="H731" s="679"/>
      <c r="I731" s="679"/>
      <c r="J731" s="679"/>
      <c r="K731" s="679"/>
      <c r="L731" s="679"/>
      <c r="M731" s="679"/>
    </row>
    <row r="732" spans="1:13" ht="12.75">
      <c r="A732" s="678"/>
      <c r="B732" s="679"/>
      <c r="C732" s="679"/>
      <c r="D732" s="679"/>
      <c r="E732" s="679"/>
      <c r="F732" s="680"/>
      <c r="G732" s="679"/>
      <c r="H732" s="679"/>
      <c r="I732" s="679"/>
      <c r="J732" s="679"/>
      <c r="K732" s="679"/>
      <c r="L732" s="679"/>
      <c r="M732" s="679"/>
    </row>
    <row r="733" spans="1:13" ht="12.75">
      <c r="A733" s="678"/>
      <c r="B733" s="679"/>
      <c r="C733" s="679"/>
      <c r="D733" s="679"/>
      <c r="E733" s="679"/>
      <c r="F733" s="680"/>
      <c r="G733" s="679"/>
      <c r="H733" s="679"/>
      <c r="I733" s="679"/>
      <c r="J733" s="679"/>
      <c r="K733" s="679"/>
      <c r="L733" s="679"/>
      <c r="M733" s="679"/>
    </row>
    <row r="734" spans="1:13" ht="12.75">
      <c r="A734" s="678"/>
      <c r="B734" s="679"/>
      <c r="C734" s="679"/>
      <c r="D734" s="679"/>
      <c r="E734" s="679"/>
      <c r="F734" s="680"/>
      <c r="G734" s="679"/>
      <c r="H734" s="679"/>
      <c r="I734" s="679"/>
      <c r="J734" s="679"/>
      <c r="K734" s="679"/>
      <c r="L734" s="679"/>
      <c r="M734" s="679"/>
    </row>
    <row r="735" spans="1:13" ht="12.75">
      <c r="A735" s="678"/>
      <c r="B735" s="679"/>
      <c r="C735" s="679"/>
      <c r="D735" s="679"/>
      <c r="E735" s="679"/>
      <c r="F735" s="680"/>
      <c r="G735" s="679"/>
      <c r="H735" s="679"/>
      <c r="I735" s="679"/>
      <c r="J735" s="679"/>
      <c r="K735" s="679"/>
      <c r="L735" s="679"/>
      <c r="M735" s="679"/>
    </row>
    <row r="736" spans="1:13" ht="12.75">
      <c r="A736" s="678"/>
      <c r="B736" s="679"/>
      <c r="C736" s="679"/>
      <c r="D736" s="679"/>
      <c r="E736" s="679"/>
      <c r="F736" s="680"/>
      <c r="G736" s="679"/>
      <c r="H736" s="679"/>
      <c r="I736" s="679"/>
      <c r="J736" s="679"/>
      <c r="K736" s="679"/>
      <c r="L736" s="679"/>
      <c r="M736" s="679"/>
    </row>
    <row r="737" spans="1:13" ht="12.75">
      <c r="A737" s="678"/>
      <c r="B737" s="679"/>
      <c r="C737" s="679"/>
      <c r="D737" s="679"/>
      <c r="E737" s="679"/>
      <c r="F737" s="680"/>
      <c r="G737" s="679"/>
      <c r="H737" s="679"/>
      <c r="I737" s="679"/>
      <c r="J737" s="679"/>
      <c r="K737" s="679"/>
      <c r="L737" s="679"/>
      <c r="M737" s="679"/>
    </row>
    <row r="738" spans="1:13" ht="12.75">
      <c r="A738" s="678"/>
      <c r="B738" s="679"/>
      <c r="C738" s="679"/>
      <c r="D738" s="679"/>
      <c r="E738" s="679"/>
      <c r="F738" s="680"/>
      <c r="G738" s="679"/>
      <c r="H738" s="679"/>
      <c r="I738" s="679"/>
      <c r="J738" s="679"/>
      <c r="K738" s="679"/>
      <c r="L738" s="679"/>
      <c r="M738" s="679"/>
    </row>
    <row r="739" spans="1:13" ht="12.75">
      <c r="A739" s="678"/>
      <c r="B739" s="679"/>
      <c r="C739" s="679"/>
      <c r="D739" s="679"/>
      <c r="E739" s="679"/>
      <c r="F739" s="680"/>
      <c r="G739" s="679"/>
      <c r="H739" s="679"/>
      <c r="I739" s="679"/>
      <c r="J739" s="679"/>
      <c r="K739" s="679"/>
      <c r="L739" s="679"/>
      <c r="M739" s="679"/>
    </row>
    <row r="740" spans="1:13" ht="12.75">
      <c r="A740" s="678"/>
      <c r="B740" s="679"/>
      <c r="C740" s="679"/>
      <c r="D740" s="679"/>
      <c r="E740" s="679"/>
      <c r="F740" s="680"/>
      <c r="G740" s="679"/>
      <c r="H740" s="679"/>
      <c r="I740" s="679"/>
      <c r="J740" s="679"/>
      <c r="K740" s="679"/>
      <c r="L740" s="679"/>
      <c r="M740" s="679"/>
    </row>
    <row r="741" spans="1:13" ht="12.75">
      <c r="A741" s="678"/>
      <c r="B741" s="679"/>
      <c r="C741" s="679"/>
      <c r="D741" s="679"/>
      <c r="E741" s="679"/>
      <c r="F741" s="680"/>
      <c r="G741" s="679"/>
      <c r="H741" s="679"/>
      <c r="I741" s="679"/>
      <c r="J741" s="679"/>
      <c r="K741" s="679"/>
      <c r="L741" s="679"/>
      <c r="M741" s="679"/>
    </row>
    <row r="742" spans="1:13" ht="12.75">
      <c r="A742" s="678"/>
      <c r="B742" s="679"/>
      <c r="C742" s="679"/>
      <c r="D742" s="679"/>
      <c r="E742" s="679"/>
      <c r="F742" s="680"/>
      <c r="G742" s="679"/>
      <c r="H742" s="679"/>
      <c r="I742" s="679"/>
      <c r="J742" s="679"/>
      <c r="K742" s="679"/>
      <c r="L742" s="679"/>
      <c r="M742" s="679"/>
    </row>
    <row r="743" spans="1:13" ht="12.75">
      <c r="A743" s="678"/>
      <c r="B743" s="679"/>
      <c r="C743" s="679"/>
      <c r="D743" s="679"/>
      <c r="E743" s="679"/>
      <c r="F743" s="680"/>
      <c r="G743" s="679"/>
      <c r="H743" s="679"/>
      <c r="I743" s="679"/>
      <c r="J743" s="679"/>
      <c r="K743" s="679"/>
      <c r="L743" s="679"/>
      <c r="M743" s="679"/>
    </row>
    <row r="744" spans="1:13" ht="12.75">
      <c r="A744" s="678"/>
      <c r="B744" s="679"/>
      <c r="C744" s="679"/>
      <c r="D744" s="679"/>
      <c r="E744" s="679"/>
      <c r="F744" s="680"/>
      <c r="G744" s="679"/>
      <c r="H744" s="679"/>
      <c r="I744" s="679"/>
      <c r="J744" s="679"/>
      <c r="K744" s="679"/>
      <c r="L744" s="679"/>
      <c r="M744" s="679"/>
    </row>
    <row r="745" spans="1:13" ht="12.75">
      <c r="A745" s="678"/>
      <c r="B745" s="679"/>
      <c r="C745" s="679"/>
      <c r="D745" s="679"/>
      <c r="E745" s="679"/>
      <c r="F745" s="680"/>
      <c r="G745" s="679"/>
      <c r="H745" s="679"/>
      <c r="I745" s="679"/>
      <c r="J745" s="679"/>
      <c r="K745" s="679"/>
      <c r="L745" s="679"/>
      <c r="M745" s="679"/>
    </row>
    <row r="746" spans="1:13" ht="12.75">
      <c r="A746" s="678"/>
      <c r="B746" s="679"/>
      <c r="C746" s="679"/>
      <c r="D746" s="679"/>
      <c r="E746" s="679"/>
      <c r="F746" s="680"/>
      <c r="G746" s="679"/>
      <c r="H746" s="679"/>
      <c r="I746" s="679"/>
      <c r="J746" s="679"/>
      <c r="K746" s="679"/>
      <c r="L746" s="679"/>
      <c r="M746" s="679"/>
    </row>
    <row r="747" spans="1:13" ht="12.75">
      <c r="A747" s="678"/>
      <c r="B747" s="679"/>
      <c r="C747" s="679"/>
      <c r="D747" s="679"/>
      <c r="E747" s="679"/>
      <c r="F747" s="680"/>
      <c r="G747" s="679"/>
      <c r="H747" s="679"/>
      <c r="I747" s="679"/>
      <c r="J747" s="679"/>
      <c r="K747" s="679"/>
      <c r="L747" s="679"/>
      <c r="M747" s="679"/>
    </row>
    <row r="748" spans="1:13" ht="12.75">
      <c r="A748" s="678"/>
      <c r="B748" s="679"/>
      <c r="C748" s="679"/>
      <c r="D748" s="679"/>
      <c r="E748" s="679"/>
      <c r="F748" s="680"/>
      <c r="G748" s="679"/>
      <c r="H748" s="679"/>
      <c r="I748" s="679"/>
      <c r="J748" s="679"/>
      <c r="K748" s="679"/>
      <c r="L748" s="679"/>
      <c r="M748" s="679"/>
    </row>
    <row r="749" spans="1:13" ht="12.75">
      <c r="A749" s="678"/>
      <c r="B749" s="679"/>
      <c r="C749" s="679"/>
      <c r="D749" s="679"/>
      <c r="E749" s="679"/>
      <c r="F749" s="680"/>
      <c r="G749" s="679"/>
      <c r="H749" s="679"/>
      <c r="I749" s="679"/>
      <c r="J749" s="679"/>
      <c r="K749" s="679"/>
      <c r="L749" s="679"/>
      <c r="M749" s="679"/>
    </row>
    <row r="750" spans="1:13" ht="12.75">
      <c r="A750" s="678"/>
      <c r="B750" s="679"/>
      <c r="C750" s="679"/>
      <c r="D750" s="679"/>
      <c r="E750" s="679"/>
      <c r="F750" s="680"/>
      <c r="G750" s="679"/>
      <c r="H750" s="679"/>
      <c r="I750" s="679"/>
      <c r="J750" s="679"/>
      <c r="K750" s="679"/>
      <c r="L750" s="679"/>
      <c r="M750" s="679"/>
    </row>
    <row r="751" spans="1:13" ht="12.75">
      <c r="A751" s="678"/>
      <c r="B751" s="679"/>
      <c r="C751" s="679"/>
      <c r="D751" s="679"/>
      <c r="E751" s="679"/>
      <c r="F751" s="680"/>
      <c r="G751" s="679"/>
      <c r="H751" s="679"/>
      <c r="I751" s="679"/>
      <c r="J751" s="679"/>
      <c r="K751" s="679"/>
      <c r="L751" s="679"/>
      <c r="M751" s="679"/>
    </row>
    <row r="752" spans="1:13" ht="12.75">
      <c r="A752" s="678"/>
      <c r="B752" s="679"/>
      <c r="C752" s="679"/>
      <c r="D752" s="679"/>
      <c r="E752" s="679"/>
      <c r="F752" s="680"/>
      <c r="G752" s="679"/>
      <c r="H752" s="679"/>
      <c r="I752" s="679"/>
      <c r="J752" s="679"/>
      <c r="K752" s="679"/>
      <c r="L752" s="679"/>
      <c r="M752" s="679"/>
    </row>
    <row r="753" spans="1:13" ht="12.75">
      <c r="A753" s="678"/>
      <c r="B753" s="679"/>
      <c r="C753" s="679"/>
      <c r="D753" s="679"/>
      <c r="E753" s="679"/>
      <c r="F753" s="680"/>
      <c r="G753" s="679"/>
      <c r="H753" s="679"/>
      <c r="I753" s="679"/>
      <c r="J753" s="679"/>
      <c r="K753" s="679"/>
      <c r="L753" s="679"/>
      <c r="M753" s="679"/>
    </row>
    <row r="754" spans="1:13" ht="12.75">
      <c r="A754" s="678"/>
      <c r="B754" s="679"/>
      <c r="C754" s="679"/>
      <c r="D754" s="679"/>
      <c r="E754" s="679"/>
      <c r="F754" s="680"/>
      <c r="G754" s="679"/>
      <c r="H754" s="679"/>
      <c r="I754" s="679"/>
      <c r="J754" s="679"/>
      <c r="K754" s="679"/>
      <c r="L754" s="679"/>
      <c r="M754" s="679"/>
    </row>
    <row r="755" spans="1:13" ht="12.75">
      <c r="A755" s="678"/>
      <c r="B755" s="679"/>
      <c r="C755" s="679"/>
      <c r="D755" s="679"/>
      <c r="E755" s="679"/>
      <c r="F755" s="680"/>
      <c r="G755" s="679"/>
      <c r="H755" s="679"/>
      <c r="I755" s="679"/>
      <c r="J755" s="679"/>
      <c r="K755" s="679"/>
      <c r="L755" s="679"/>
      <c r="M755" s="679"/>
    </row>
    <row r="756" spans="1:13" ht="12.75">
      <c r="A756" s="678"/>
      <c r="B756" s="679"/>
      <c r="C756" s="679"/>
      <c r="D756" s="679"/>
      <c r="E756" s="679"/>
      <c r="F756" s="680"/>
      <c r="G756" s="679"/>
      <c r="H756" s="679"/>
      <c r="I756" s="679"/>
      <c r="J756" s="679"/>
      <c r="K756" s="679"/>
      <c r="L756" s="679"/>
      <c r="M756" s="679"/>
    </row>
    <row r="757" spans="1:13" ht="12.75">
      <c r="A757" s="678"/>
      <c r="B757" s="679"/>
      <c r="C757" s="679"/>
      <c r="D757" s="679"/>
      <c r="E757" s="679"/>
      <c r="F757" s="680"/>
      <c r="G757" s="679"/>
      <c r="H757" s="679"/>
      <c r="I757" s="679"/>
      <c r="J757" s="679"/>
      <c r="K757" s="679"/>
      <c r="L757" s="679"/>
      <c r="M757" s="679"/>
    </row>
    <row r="758" spans="1:13" ht="12.75">
      <c r="A758" s="678"/>
      <c r="B758" s="679"/>
      <c r="C758" s="679"/>
      <c r="D758" s="679"/>
      <c r="E758" s="679"/>
      <c r="F758" s="680"/>
      <c r="G758" s="679"/>
      <c r="H758" s="679"/>
      <c r="I758" s="679"/>
      <c r="J758" s="679"/>
      <c r="K758" s="679"/>
      <c r="L758" s="679"/>
      <c r="M758" s="679"/>
    </row>
    <row r="759" spans="1:13" ht="12.75">
      <c r="A759" s="678"/>
      <c r="B759" s="679"/>
      <c r="C759" s="679"/>
      <c r="D759" s="679"/>
      <c r="E759" s="679"/>
      <c r="F759" s="680"/>
      <c r="G759" s="679"/>
      <c r="H759" s="679"/>
      <c r="I759" s="679"/>
      <c r="J759" s="679"/>
      <c r="K759" s="679"/>
      <c r="L759" s="679"/>
      <c r="M759" s="679"/>
    </row>
    <row r="760" spans="1:13" ht="12.75">
      <c r="A760" s="678"/>
      <c r="B760" s="679"/>
      <c r="C760" s="679"/>
      <c r="D760" s="679"/>
      <c r="E760" s="679"/>
      <c r="F760" s="680"/>
      <c r="G760" s="679"/>
      <c r="H760" s="679"/>
      <c r="I760" s="679"/>
      <c r="J760" s="679"/>
      <c r="K760" s="679"/>
      <c r="L760" s="679"/>
      <c r="M760" s="679"/>
    </row>
    <row r="761" spans="1:13" ht="12.75">
      <c r="A761" s="678"/>
      <c r="B761" s="679"/>
      <c r="C761" s="679"/>
      <c r="D761" s="679"/>
      <c r="E761" s="679"/>
      <c r="F761" s="680"/>
      <c r="G761" s="679"/>
      <c r="H761" s="679"/>
      <c r="I761" s="679"/>
      <c r="J761" s="679"/>
      <c r="K761" s="679"/>
      <c r="L761" s="679"/>
      <c r="M761" s="679"/>
    </row>
    <row r="762" spans="1:13" ht="12.75">
      <c r="A762" s="678"/>
      <c r="B762" s="679"/>
      <c r="C762" s="679"/>
      <c r="D762" s="679"/>
      <c r="E762" s="679"/>
      <c r="F762" s="680"/>
      <c r="G762" s="679"/>
      <c r="H762" s="679"/>
      <c r="I762" s="679"/>
      <c r="J762" s="679"/>
      <c r="K762" s="679"/>
      <c r="L762" s="679"/>
      <c r="M762" s="679"/>
    </row>
    <row r="763" spans="1:13" ht="12.75">
      <c r="A763" s="678"/>
      <c r="B763" s="679"/>
      <c r="C763" s="679"/>
      <c r="D763" s="679"/>
      <c r="E763" s="679"/>
      <c r="F763" s="680"/>
      <c r="G763" s="679"/>
      <c r="H763" s="679"/>
      <c r="I763" s="679"/>
      <c r="J763" s="679"/>
      <c r="K763" s="679"/>
      <c r="L763" s="679"/>
      <c r="M763" s="679"/>
    </row>
    <row r="764" spans="1:13" ht="12.75">
      <c r="A764" s="678"/>
      <c r="B764" s="679"/>
      <c r="C764" s="679"/>
      <c r="D764" s="679"/>
      <c r="E764" s="679"/>
      <c r="F764" s="680"/>
      <c r="G764" s="679"/>
      <c r="H764" s="679"/>
      <c r="I764" s="679"/>
      <c r="J764" s="679"/>
      <c r="K764" s="679"/>
      <c r="L764" s="679"/>
      <c r="M764" s="679"/>
    </row>
    <row r="765" spans="1:13" ht="12.75">
      <c r="A765" s="678"/>
      <c r="B765" s="679"/>
      <c r="C765" s="679"/>
      <c r="D765" s="679"/>
      <c r="E765" s="679"/>
      <c r="F765" s="680"/>
      <c r="G765" s="679"/>
      <c r="H765" s="679"/>
      <c r="I765" s="679"/>
      <c r="J765" s="679"/>
      <c r="K765" s="679"/>
      <c r="L765" s="679"/>
      <c r="M765" s="679"/>
    </row>
    <row r="766" spans="1:13" ht="12.75">
      <c r="A766" s="678"/>
      <c r="B766" s="679"/>
      <c r="C766" s="679"/>
      <c r="D766" s="679"/>
      <c r="E766" s="679"/>
      <c r="F766" s="680"/>
      <c r="G766" s="679"/>
      <c r="H766" s="679"/>
      <c r="I766" s="679"/>
      <c r="J766" s="679"/>
      <c r="K766" s="679"/>
      <c r="L766" s="679"/>
      <c r="M766" s="679"/>
    </row>
    <row r="767" spans="1:13" ht="12.75">
      <c r="A767" s="678"/>
      <c r="B767" s="679"/>
      <c r="C767" s="679"/>
      <c r="D767" s="679"/>
      <c r="E767" s="679"/>
      <c r="F767" s="680"/>
      <c r="G767" s="679"/>
      <c r="H767" s="679"/>
      <c r="I767" s="679"/>
      <c r="J767" s="679"/>
      <c r="K767" s="679"/>
      <c r="L767" s="679"/>
      <c r="M767" s="679"/>
    </row>
    <row r="768" spans="1:13" ht="12.75">
      <c r="A768" s="678"/>
      <c r="B768" s="679"/>
      <c r="C768" s="679"/>
      <c r="D768" s="679"/>
      <c r="E768" s="679"/>
      <c r="F768" s="680"/>
      <c r="G768" s="679"/>
      <c r="H768" s="679"/>
      <c r="I768" s="679"/>
      <c r="J768" s="679"/>
      <c r="K768" s="679"/>
      <c r="L768" s="679"/>
      <c r="M768" s="679"/>
    </row>
    <row r="769" spans="1:13" ht="12.75">
      <c r="A769" s="678"/>
      <c r="B769" s="679"/>
      <c r="C769" s="679"/>
      <c r="D769" s="679"/>
      <c r="E769" s="679"/>
      <c r="F769" s="680"/>
      <c r="G769" s="679"/>
      <c r="H769" s="679"/>
      <c r="I769" s="679"/>
      <c r="J769" s="679"/>
      <c r="K769" s="679"/>
      <c r="L769" s="679"/>
      <c r="M769" s="679"/>
    </row>
    <row r="770" spans="1:13" ht="12.75">
      <c r="A770" s="678"/>
      <c r="B770" s="679"/>
      <c r="C770" s="679"/>
      <c r="D770" s="679"/>
      <c r="E770" s="679"/>
      <c r="F770" s="680"/>
      <c r="G770" s="679"/>
      <c r="H770" s="679"/>
      <c r="I770" s="679"/>
      <c r="J770" s="679"/>
      <c r="K770" s="679"/>
      <c r="L770" s="679"/>
      <c r="M770" s="679"/>
    </row>
    <row r="771" spans="1:13" ht="12.75">
      <c r="A771" s="678"/>
      <c r="B771" s="679"/>
      <c r="C771" s="679"/>
      <c r="D771" s="679"/>
      <c r="E771" s="679"/>
      <c r="F771" s="680"/>
      <c r="G771" s="679"/>
      <c r="H771" s="679"/>
      <c r="I771" s="679"/>
      <c r="J771" s="679"/>
      <c r="K771" s="679"/>
      <c r="L771" s="679"/>
      <c r="M771" s="679"/>
    </row>
    <row r="772" spans="1:13" ht="12.75">
      <c r="A772" s="678"/>
      <c r="B772" s="679"/>
      <c r="C772" s="679"/>
      <c r="D772" s="679"/>
      <c r="E772" s="679"/>
      <c r="F772" s="680"/>
      <c r="G772" s="679"/>
      <c r="H772" s="679"/>
      <c r="I772" s="679"/>
      <c r="J772" s="679"/>
      <c r="K772" s="679"/>
      <c r="L772" s="679"/>
      <c r="M772" s="679"/>
    </row>
    <row r="773" spans="1:13" ht="12.75">
      <c r="A773" s="678"/>
      <c r="B773" s="679"/>
      <c r="C773" s="679"/>
      <c r="D773" s="679"/>
      <c r="E773" s="679"/>
      <c r="F773" s="680"/>
      <c r="G773" s="679"/>
      <c r="H773" s="679"/>
      <c r="I773" s="679"/>
      <c r="J773" s="679"/>
      <c r="K773" s="679"/>
      <c r="L773" s="679"/>
      <c r="M773" s="679"/>
    </row>
    <row r="774" spans="1:13" ht="12.75">
      <c r="A774" s="678"/>
      <c r="B774" s="679"/>
      <c r="C774" s="679"/>
      <c r="D774" s="679"/>
      <c r="E774" s="679"/>
      <c r="F774" s="680"/>
      <c r="G774" s="679"/>
      <c r="H774" s="679"/>
      <c r="I774" s="679"/>
      <c r="J774" s="679"/>
      <c r="K774" s="679"/>
      <c r="L774" s="679"/>
      <c r="M774" s="679"/>
    </row>
    <row r="775" spans="1:13" ht="12.75">
      <c r="A775" s="678"/>
      <c r="B775" s="679"/>
      <c r="C775" s="679"/>
      <c r="D775" s="679"/>
      <c r="E775" s="679"/>
      <c r="F775" s="680"/>
      <c r="G775" s="679"/>
      <c r="H775" s="679"/>
      <c r="I775" s="679"/>
      <c r="J775" s="679"/>
      <c r="K775" s="679"/>
      <c r="L775" s="679"/>
      <c r="M775" s="679"/>
    </row>
    <row r="776" spans="1:13" ht="12.75">
      <c r="A776" s="678"/>
      <c r="B776" s="679"/>
      <c r="C776" s="679"/>
      <c r="D776" s="679"/>
      <c r="E776" s="679"/>
      <c r="F776" s="680"/>
      <c r="G776" s="679"/>
      <c r="H776" s="679"/>
      <c r="I776" s="679"/>
      <c r="J776" s="679"/>
      <c r="K776" s="679"/>
      <c r="L776" s="679"/>
      <c r="M776" s="679"/>
    </row>
    <row r="777" spans="1:13" ht="12.75">
      <c r="A777" s="678"/>
      <c r="B777" s="679"/>
      <c r="C777" s="679"/>
      <c r="D777" s="679"/>
      <c r="E777" s="679"/>
      <c r="F777" s="680"/>
      <c r="G777" s="679"/>
      <c r="H777" s="679"/>
      <c r="I777" s="679"/>
      <c r="J777" s="679"/>
      <c r="K777" s="679"/>
      <c r="L777" s="679"/>
      <c r="M777" s="679"/>
    </row>
    <row r="778" spans="1:13" ht="12.75">
      <c r="A778" s="678"/>
      <c r="B778" s="679"/>
      <c r="C778" s="679"/>
      <c r="D778" s="679"/>
      <c r="E778" s="679"/>
      <c r="F778" s="680"/>
      <c r="G778" s="679"/>
      <c r="H778" s="679"/>
      <c r="I778" s="679"/>
      <c r="J778" s="679"/>
      <c r="K778" s="679"/>
      <c r="L778" s="679"/>
      <c r="M778" s="679"/>
    </row>
    <row r="779" spans="1:13" ht="12.75">
      <c r="A779" s="678"/>
      <c r="B779" s="679"/>
      <c r="C779" s="679"/>
      <c r="D779" s="679"/>
      <c r="E779" s="679"/>
      <c r="F779" s="680"/>
      <c r="G779" s="679"/>
      <c r="H779" s="679"/>
      <c r="I779" s="679"/>
      <c r="J779" s="679"/>
      <c r="K779" s="679"/>
      <c r="L779" s="679"/>
      <c r="M779" s="679"/>
    </row>
    <row r="780" spans="1:13" ht="12.75">
      <c r="A780" s="678"/>
      <c r="B780" s="679"/>
      <c r="C780" s="679"/>
      <c r="D780" s="679"/>
      <c r="E780" s="679"/>
      <c r="F780" s="680"/>
      <c r="G780" s="679"/>
      <c r="H780" s="679"/>
      <c r="I780" s="679"/>
      <c r="J780" s="679"/>
      <c r="K780" s="679"/>
      <c r="L780" s="679"/>
      <c r="M780" s="679"/>
    </row>
    <row r="781" spans="1:13" ht="12.75">
      <c r="A781" s="678"/>
      <c r="B781" s="679"/>
      <c r="C781" s="679"/>
      <c r="D781" s="679"/>
      <c r="E781" s="679"/>
      <c r="F781" s="680"/>
      <c r="G781" s="679"/>
      <c r="H781" s="679"/>
      <c r="I781" s="679"/>
      <c r="J781" s="679"/>
      <c r="K781" s="679"/>
      <c r="L781" s="679"/>
      <c r="M781" s="679"/>
    </row>
    <row r="782" spans="1:13" ht="12.75">
      <c r="A782" s="678"/>
      <c r="B782" s="679"/>
      <c r="C782" s="679"/>
      <c r="D782" s="679"/>
      <c r="E782" s="679"/>
      <c r="F782" s="680"/>
      <c r="G782" s="679"/>
      <c r="H782" s="679"/>
      <c r="I782" s="679"/>
      <c r="J782" s="679"/>
      <c r="K782" s="679"/>
      <c r="L782" s="679"/>
      <c r="M782" s="679"/>
    </row>
    <row r="783" spans="1:13" ht="12.75">
      <c r="A783" s="678"/>
      <c r="B783" s="679"/>
      <c r="C783" s="679"/>
      <c r="D783" s="679"/>
      <c r="E783" s="679"/>
      <c r="F783" s="680"/>
      <c r="G783" s="679"/>
      <c r="H783" s="679"/>
      <c r="I783" s="679"/>
      <c r="J783" s="679"/>
      <c r="K783" s="679"/>
      <c r="L783" s="679"/>
      <c r="M783" s="679"/>
    </row>
    <row r="784" spans="1:13" ht="12.75">
      <c r="A784" s="678"/>
      <c r="B784" s="679"/>
      <c r="C784" s="679"/>
      <c r="D784" s="679"/>
      <c r="E784" s="679"/>
      <c r="F784" s="680"/>
      <c r="G784" s="679"/>
      <c r="H784" s="679"/>
      <c r="I784" s="679"/>
      <c r="J784" s="679"/>
      <c r="K784" s="679"/>
      <c r="L784" s="679"/>
      <c r="M784" s="679"/>
    </row>
    <row r="785" spans="1:13" ht="12.75">
      <c r="A785" s="678"/>
      <c r="B785" s="679"/>
      <c r="C785" s="679"/>
      <c r="D785" s="679"/>
      <c r="E785" s="679"/>
      <c r="F785" s="680"/>
      <c r="G785" s="679"/>
      <c r="H785" s="679"/>
      <c r="I785" s="679"/>
      <c r="J785" s="679"/>
      <c r="K785" s="679"/>
      <c r="L785" s="679"/>
      <c r="M785" s="679"/>
    </row>
    <row r="786" spans="1:13" ht="12.75">
      <c r="A786" s="678"/>
      <c r="B786" s="679"/>
      <c r="C786" s="679"/>
      <c r="D786" s="679"/>
      <c r="E786" s="679"/>
      <c r="F786" s="680"/>
      <c r="G786" s="679"/>
      <c r="H786" s="679"/>
      <c r="I786" s="679"/>
      <c r="J786" s="679"/>
      <c r="K786" s="679"/>
      <c r="L786" s="679"/>
      <c r="M786" s="679"/>
    </row>
    <row r="787" spans="1:13" ht="12.75">
      <c r="A787" s="678"/>
      <c r="B787" s="679"/>
      <c r="C787" s="679"/>
      <c r="D787" s="679"/>
      <c r="E787" s="679"/>
      <c r="F787" s="680"/>
      <c r="G787" s="679"/>
      <c r="H787" s="679"/>
      <c r="I787" s="679"/>
      <c r="J787" s="679"/>
      <c r="K787" s="679"/>
      <c r="L787" s="679"/>
      <c r="M787" s="679"/>
    </row>
    <row r="788" spans="1:13" ht="12.75">
      <c r="A788" s="678"/>
      <c r="B788" s="679"/>
      <c r="C788" s="679"/>
      <c r="D788" s="679"/>
      <c r="E788" s="679"/>
      <c r="F788" s="680"/>
      <c r="G788" s="679"/>
      <c r="H788" s="679"/>
      <c r="I788" s="679"/>
      <c r="J788" s="679"/>
      <c r="K788" s="679"/>
      <c r="L788" s="679"/>
      <c r="M788" s="679"/>
    </row>
    <row r="789" spans="1:13" ht="12.75">
      <c r="A789" s="678"/>
      <c r="B789" s="679"/>
      <c r="C789" s="679"/>
      <c r="D789" s="679"/>
      <c r="E789" s="679"/>
      <c r="F789" s="680"/>
      <c r="G789" s="679"/>
      <c r="H789" s="679"/>
      <c r="I789" s="679"/>
      <c r="J789" s="679"/>
      <c r="K789" s="679"/>
      <c r="L789" s="679"/>
      <c r="M789" s="679"/>
    </row>
    <row r="790" spans="1:13" ht="12.75">
      <c r="A790" s="678"/>
      <c r="B790" s="679"/>
      <c r="C790" s="679"/>
      <c r="D790" s="679"/>
      <c r="E790" s="679"/>
      <c r="F790" s="680"/>
      <c r="G790" s="679"/>
      <c r="H790" s="679"/>
      <c r="I790" s="679"/>
      <c r="J790" s="679"/>
      <c r="K790" s="679"/>
      <c r="L790" s="679"/>
      <c r="M790" s="679"/>
    </row>
    <row r="791" spans="1:13" ht="12.75">
      <c r="A791" s="678"/>
      <c r="B791" s="679"/>
      <c r="C791" s="679"/>
      <c r="D791" s="679"/>
      <c r="E791" s="679"/>
      <c r="F791" s="680"/>
      <c r="G791" s="679"/>
      <c r="H791" s="679"/>
      <c r="I791" s="679"/>
      <c r="J791" s="679"/>
      <c r="K791" s="679"/>
      <c r="L791" s="679"/>
      <c r="M791" s="679"/>
    </row>
    <row r="792" spans="1:13" ht="12.75">
      <c r="A792" s="678"/>
      <c r="B792" s="679"/>
      <c r="C792" s="679"/>
      <c r="D792" s="679"/>
      <c r="E792" s="679"/>
      <c r="F792" s="680"/>
      <c r="G792" s="679"/>
      <c r="H792" s="679"/>
      <c r="I792" s="679"/>
      <c r="J792" s="679"/>
      <c r="K792" s="679"/>
      <c r="L792" s="679"/>
      <c r="M792" s="679"/>
    </row>
    <row r="793" spans="1:13" ht="12.75">
      <c r="A793" s="678"/>
      <c r="B793" s="679"/>
      <c r="C793" s="679"/>
      <c r="D793" s="679"/>
      <c r="E793" s="679"/>
      <c r="F793" s="680"/>
      <c r="G793" s="679"/>
      <c r="H793" s="679"/>
      <c r="I793" s="679"/>
      <c r="J793" s="679"/>
      <c r="K793" s="679"/>
      <c r="L793" s="679"/>
      <c r="M793" s="679"/>
    </row>
    <row r="794" spans="1:13" ht="12.75">
      <c r="A794" s="678"/>
      <c r="B794" s="679"/>
      <c r="C794" s="679"/>
      <c r="D794" s="679"/>
      <c r="E794" s="679"/>
      <c r="F794" s="680"/>
      <c r="G794" s="679"/>
      <c r="H794" s="679"/>
      <c r="I794" s="679"/>
      <c r="J794" s="679"/>
      <c r="K794" s="679"/>
      <c r="L794" s="679"/>
      <c r="M794" s="679"/>
    </row>
    <row r="795" spans="1:13" ht="12.75">
      <c r="A795" s="678"/>
      <c r="B795" s="679"/>
      <c r="C795" s="679"/>
      <c r="D795" s="679"/>
      <c r="E795" s="679"/>
      <c r="F795" s="680"/>
      <c r="G795" s="679"/>
      <c r="H795" s="679"/>
      <c r="I795" s="679"/>
      <c r="J795" s="679"/>
      <c r="K795" s="679"/>
      <c r="L795" s="679"/>
      <c r="M795" s="679"/>
    </row>
    <row r="796" spans="1:13" ht="12.75">
      <c r="A796" s="678"/>
      <c r="B796" s="679"/>
      <c r="C796" s="679"/>
      <c r="D796" s="679"/>
      <c r="E796" s="679"/>
      <c r="F796" s="680"/>
      <c r="G796" s="679"/>
      <c r="H796" s="679"/>
      <c r="I796" s="679"/>
      <c r="J796" s="679"/>
      <c r="K796" s="679"/>
      <c r="L796" s="679"/>
      <c r="M796" s="679"/>
    </row>
    <row r="797" spans="1:13" ht="12.75">
      <c r="A797" s="678"/>
      <c r="B797" s="679"/>
      <c r="C797" s="679"/>
      <c r="D797" s="679"/>
      <c r="E797" s="679"/>
      <c r="F797" s="680"/>
      <c r="G797" s="679"/>
      <c r="H797" s="679"/>
      <c r="I797" s="679"/>
      <c r="J797" s="679"/>
      <c r="K797" s="679"/>
      <c r="L797" s="679"/>
      <c r="M797" s="679"/>
    </row>
    <row r="798" spans="1:13" ht="12.75">
      <c r="A798" s="678"/>
      <c r="B798" s="679"/>
      <c r="C798" s="679"/>
      <c r="D798" s="679"/>
      <c r="E798" s="679"/>
      <c r="F798" s="680"/>
      <c r="G798" s="679"/>
      <c r="H798" s="679"/>
      <c r="I798" s="679"/>
      <c r="J798" s="679"/>
      <c r="K798" s="679"/>
      <c r="L798" s="679"/>
      <c r="M798" s="679"/>
    </row>
    <row r="799" spans="1:13" ht="12.75">
      <c r="A799" s="678"/>
      <c r="B799" s="679"/>
      <c r="C799" s="679"/>
      <c r="D799" s="679"/>
      <c r="E799" s="679"/>
      <c r="F799" s="680"/>
      <c r="G799" s="679"/>
      <c r="H799" s="679"/>
      <c r="I799" s="679"/>
      <c r="J799" s="679"/>
      <c r="K799" s="679"/>
      <c r="L799" s="679"/>
      <c r="M799" s="679"/>
    </row>
    <row r="800" spans="1:13" ht="12.75">
      <c r="A800" s="678"/>
      <c r="B800" s="679"/>
      <c r="C800" s="679"/>
      <c r="D800" s="679"/>
      <c r="E800" s="679"/>
      <c r="F800" s="680"/>
      <c r="G800" s="679"/>
      <c r="H800" s="679"/>
      <c r="I800" s="679"/>
      <c r="J800" s="679"/>
      <c r="K800" s="679"/>
      <c r="L800" s="679"/>
      <c r="M800" s="679"/>
    </row>
    <row r="801" spans="1:13" ht="12.75">
      <c r="A801" s="678"/>
      <c r="B801" s="679"/>
      <c r="C801" s="679"/>
      <c r="D801" s="679"/>
      <c r="E801" s="679"/>
      <c r="F801" s="680"/>
      <c r="G801" s="679"/>
      <c r="H801" s="679"/>
      <c r="I801" s="679"/>
      <c r="J801" s="679"/>
      <c r="K801" s="679"/>
      <c r="L801" s="679"/>
      <c r="M801" s="679"/>
    </row>
    <row r="802" spans="1:13" ht="12.75">
      <c r="A802" s="678"/>
      <c r="B802" s="679"/>
      <c r="C802" s="679"/>
      <c r="D802" s="679"/>
      <c r="E802" s="679"/>
      <c r="F802" s="680"/>
      <c r="G802" s="679"/>
      <c r="H802" s="679"/>
      <c r="I802" s="679"/>
      <c r="J802" s="679"/>
      <c r="K802" s="679"/>
      <c r="L802" s="679"/>
      <c r="M802" s="679"/>
    </row>
    <row r="803" spans="1:13" ht="12.75">
      <c r="A803" s="678"/>
      <c r="B803" s="679"/>
      <c r="C803" s="679"/>
      <c r="D803" s="679"/>
      <c r="E803" s="679"/>
      <c r="F803" s="680"/>
      <c r="G803" s="679"/>
      <c r="H803" s="679"/>
      <c r="I803" s="679"/>
      <c r="J803" s="679"/>
      <c r="K803" s="679"/>
      <c r="L803" s="679"/>
      <c r="M803" s="679"/>
    </row>
    <row r="804" spans="1:13" ht="12.75">
      <c r="A804" s="678"/>
      <c r="B804" s="679"/>
      <c r="C804" s="679"/>
      <c r="D804" s="679"/>
      <c r="E804" s="679"/>
      <c r="F804" s="680"/>
      <c r="G804" s="679"/>
      <c r="H804" s="679"/>
      <c r="I804" s="679"/>
      <c r="J804" s="679"/>
      <c r="K804" s="679"/>
      <c r="L804" s="679"/>
      <c r="M804" s="679"/>
    </row>
    <row r="805" spans="1:13" ht="12.75">
      <c r="A805" s="678"/>
      <c r="B805" s="679"/>
      <c r="C805" s="679"/>
      <c r="D805" s="679"/>
      <c r="E805" s="679"/>
      <c r="F805" s="680"/>
      <c r="G805" s="679"/>
      <c r="H805" s="679"/>
      <c r="I805" s="679"/>
      <c r="J805" s="679"/>
      <c r="K805" s="679"/>
      <c r="L805" s="679"/>
      <c r="M805" s="679"/>
    </row>
    <row r="806" spans="1:13" ht="12.75">
      <c r="A806" s="678"/>
      <c r="B806" s="679"/>
      <c r="C806" s="679"/>
      <c r="D806" s="679"/>
      <c r="E806" s="679"/>
      <c r="F806" s="680"/>
      <c r="G806" s="679"/>
      <c r="H806" s="679"/>
      <c r="I806" s="679"/>
      <c r="J806" s="679"/>
      <c r="K806" s="679"/>
      <c r="L806" s="679"/>
      <c r="M806" s="679"/>
    </row>
    <row r="807" spans="1:13" ht="12.75">
      <c r="A807" s="678"/>
      <c r="B807" s="679"/>
      <c r="C807" s="679"/>
      <c r="D807" s="679"/>
      <c r="E807" s="679"/>
      <c r="F807" s="680"/>
      <c r="G807" s="679"/>
      <c r="H807" s="679"/>
      <c r="I807" s="679"/>
      <c r="J807" s="679"/>
      <c r="K807" s="679"/>
      <c r="L807" s="679"/>
      <c r="M807" s="679"/>
    </row>
    <row r="808" spans="1:13" ht="12.75">
      <c r="A808" s="678"/>
      <c r="B808" s="679"/>
      <c r="C808" s="679"/>
      <c r="D808" s="679"/>
      <c r="E808" s="679"/>
      <c r="F808" s="680"/>
      <c r="G808" s="679"/>
      <c r="H808" s="679"/>
      <c r="I808" s="679"/>
      <c r="J808" s="679"/>
      <c r="K808" s="679"/>
      <c r="L808" s="679"/>
      <c r="M808" s="679"/>
    </row>
    <row r="809" spans="1:13" ht="12.75">
      <c r="A809" s="678"/>
      <c r="B809" s="679"/>
      <c r="C809" s="679"/>
      <c r="D809" s="679"/>
      <c r="E809" s="679"/>
      <c r="F809" s="680"/>
      <c r="G809" s="679"/>
      <c r="H809" s="679"/>
      <c r="I809" s="679"/>
      <c r="J809" s="679"/>
      <c r="K809" s="679"/>
      <c r="L809" s="679"/>
      <c r="M809" s="679"/>
    </row>
    <row r="810" spans="1:13" ht="12.75">
      <c r="A810" s="678"/>
      <c r="B810" s="679"/>
      <c r="C810" s="679"/>
      <c r="D810" s="679"/>
      <c r="E810" s="679"/>
      <c r="F810" s="680"/>
      <c r="G810" s="679"/>
      <c r="H810" s="679"/>
      <c r="I810" s="679"/>
      <c r="J810" s="679"/>
      <c r="K810" s="679"/>
      <c r="L810" s="679"/>
      <c r="M810" s="679"/>
    </row>
    <row r="811" spans="1:13" ht="12.75">
      <c r="A811" s="678"/>
      <c r="B811" s="679"/>
      <c r="C811" s="679"/>
      <c r="D811" s="679"/>
      <c r="E811" s="679"/>
      <c r="F811" s="680"/>
      <c r="G811" s="679"/>
      <c r="H811" s="679"/>
      <c r="I811" s="679"/>
      <c r="J811" s="679"/>
      <c r="K811" s="679"/>
      <c r="L811" s="679"/>
      <c r="M811" s="679"/>
    </row>
    <row r="812" spans="1:13" ht="12.75">
      <c r="A812" s="678"/>
      <c r="B812" s="679"/>
      <c r="C812" s="679"/>
      <c r="D812" s="679"/>
      <c r="E812" s="679"/>
      <c r="F812" s="680"/>
      <c r="G812" s="679"/>
      <c r="H812" s="679"/>
      <c r="I812" s="679"/>
      <c r="J812" s="679"/>
      <c r="K812" s="679"/>
      <c r="L812" s="679"/>
      <c r="M812" s="679"/>
    </row>
    <row r="813" spans="1:13" ht="12.75">
      <c r="A813" s="678"/>
      <c r="B813" s="679"/>
      <c r="C813" s="679"/>
      <c r="D813" s="679"/>
      <c r="E813" s="679"/>
      <c r="F813" s="680"/>
      <c r="G813" s="679"/>
      <c r="H813" s="679"/>
      <c r="I813" s="679"/>
      <c r="J813" s="679"/>
      <c r="K813" s="679"/>
      <c r="L813" s="679"/>
      <c r="M813" s="679"/>
    </row>
    <row r="814" spans="1:13" ht="12.75">
      <c r="A814" s="678"/>
      <c r="B814" s="679"/>
      <c r="C814" s="679"/>
      <c r="D814" s="679"/>
      <c r="E814" s="679"/>
      <c r="F814" s="680"/>
      <c r="G814" s="679"/>
      <c r="H814" s="679"/>
      <c r="I814" s="679"/>
      <c r="J814" s="679"/>
      <c r="K814" s="679"/>
      <c r="L814" s="679"/>
      <c r="M814" s="679"/>
    </row>
    <row r="815" spans="1:13" ht="12.75">
      <c r="A815" s="678"/>
      <c r="B815" s="679"/>
      <c r="C815" s="679"/>
      <c r="D815" s="679"/>
      <c r="E815" s="679"/>
      <c r="F815" s="680"/>
      <c r="G815" s="679"/>
      <c r="H815" s="679"/>
      <c r="I815" s="679"/>
      <c r="J815" s="679"/>
      <c r="K815" s="679"/>
      <c r="L815" s="679"/>
      <c r="M815" s="679"/>
    </row>
    <row r="816" spans="1:13" ht="12.75">
      <c r="A816" s="678"/>
      <c r="B816" s="679"/>
      <c r="C816" s="679"/>
      <c r="D816" s="679"/>
      <c r="E816" s="679"/>
      <c r="F816" s="680"/>
      <c r="G816" s="679"/>
      <c r="H816" s="679"/>
      <c r="I816" s="679"/>
      <c r="J816" s="679"/>
      <c r="K816" s="679"/>
      <c r="L816" s="679"/>
      <c r="M816" s="679"/>
    </row>
    <row r="817" spans="1:13" ht="12.75">
      <c r="A817" s="678"/>
      <c r="B817" s="679"/>
      <c r="C817" s="679"/>
      <c r="D817" s="679"/>
      <c r="E817" s="679"/>
      <c r="F817" s="680"/>
      <c r="G817" s="679"/>
      <c r="H817" s="679"/>
      <c r="I817" s="679"/>
      <c r="J817" s="679"/>
      <c r="K817" s="679"/>
      <c r="L817" s="679"/>
      <c r="M817" s="679"/>
    </row>
    <row r="818" spans="1:13" ht="12.75">
      <c r="A818" s="678"/>
      <c r="B818" s="679"/>
      <c r="C818" s="679"/>
      <c r="D818" s="679"/>
      <c r="E818" s="679"/>
      <c r="F818" s="680"/>
      <c r="G818" s="679"/>
      <c r="H818" s="679"/>
      <c r="I818" s="679"/>
      <c r="J818" s="679"/>
      <c r="K818" s="679"/>
      <c r="L818" s="679"/>
      <c r="M818" s="679"/>
    </row>
    <row r="819" spans="1:13" ht="12.75">
      <c r="A819" s="678"/>
      <c r="B819" s="679"/>
      <c r="C819" s="679"/>
      <c r="D819" s="679"/>
      <c r="E819" s="679"/>
      <c r="F819" s="680"/>
      <c r="G819" s="679"/>
      <c r="H819" s="679"/>
      <c r="I819" s="679"/>
      <c r="J819" s="679"/>
      <c r="K819" s="679"/>
      <c r="L819" s="679"/>
      <c r="M819" s="679"/>
    </row>
    <row r="820" spans="1:13" ht="12.75">
      <c r="A820" s="678"/>
      <c r="B820" s="679"/>
      <c r="C820" s="679"/>
      <c r="D820" s="679"/>
      <c r="E820" s="679"/>
      <c r="F820" s="680"/>
      <c r="G820" s="679"/>
      <c r="H820" s="679"/>
      <c r="I820" s="679"/>
      <c r="J820" s="679"/>
      <c r="K820" s="679"/>
      <c r="L820" s="679"/>
      <c r="M820" s="679"/>
    </row>
    <row r="821" spans="1:13" ht="12.75">
      <c r="A821" s="678"/>
      <c r="B821" s="679"/>
      <c r="C821" s="679"/>
      <c r="D821" s="679"/>
      <c r="E821" s="679"/>
      <c r="F821" s="680"/>
      <c r="G821" s="679"/>
      <c r="H821" s="679"/>
      <c r="I821" s="679"/>
      <c r="J821" s="679"/>
      <c r="K821" s="679"/>
      <c r="L821" s="679"/>
      <c r="M821" s="679"/>
    </row>
    <row r="822" spans="1:13" ht="12.75">
      <c r="A822" s="678"/>
      <c r="B822" s="679"/>
      <c r="C822" s="679"/>
      <c r="D822" s="679"/>
      <c r="E822" s="679"/>
      <c r="F822" s="680"/>
      <c r="G822" s="679"/>
      <c r="H822" s="679"/>
      <c r="I822" s="679"/>
      <c r="J822" s="679"/>
      <c r="K822" s="679"/>
      <c r="L822" s="679"/>
      <c r="M822" s="679"/>
    </row>
    <row r="823" spans="1:13" ht="12.75">
      <c r="A823" s="678"/>
      <c r="B823" s="679"/>
      <c r="C823" s="679"/>
      <c r="D823" s="679"/>
      <c r="E823" s="679"/>
      <c r="F823" s="680"/>
      <c r="G823" s="679"/>
      <c r="H823" s="679"/>
      <c r="I823" s="679"/>
      <c r="J823" s="679"/>
      <c r="K823" s="679"/>
      <c r="L823" s="679"/>
      <c r="M823" s="679"/>
    </row>
    <row r="824" spans="1:13" ht="12.75">
      <c r="A824" s="678"/>
      <c r="B824" s="679"/>
      <c r="C824" s="679"/>
      <c r="D824" s="679"/>
      <c r="E824" s="679"/>
      <c r="F824" s="680"/>
      <c r="G824" s="679"/>
      <c r="H824" s="679"/>
      <c r="I824" s="679"/>
      <c r="J824" s="679"/>
      <c r="K824" s="679"/>
      <c r="L824" s="679"/>
      <c r="M824" s="679"/>
    </row>
    <row r="825" spans="1:13" ht="12.75">
      <c r="A825" s="678"/>
      <c r="B825" s="679"/>
      <c r="C825" s="679"/>
      <c r="D825" s="679"/>
      <c r="E825" s="679"/>
      <c r="F825" s="680"/>
      <c r="G825" s="679"/>
      <c r="H825" s="679"/>
      <c r="I825" s="679"/>
      <c r="J825" s="679"/>
      <c r="K825" s="679"/>
      <c r="L825" s="679"/>
      <c r="M825" s="679"/>
    </row>
    <row r="826" spans="1:13" ht="12.75">
      <c r="A826" s="678"/>
      <c r="B826" s="679"/>
      <c r="C826" s="679"/>
      <c r="D826" s="679"/>
      <c r="E826" s="679"/>
      <c r="F826" s="680"/>
      <c r="G826" s="679"/>
      <c r="H826" s="679"/>
      <c r="I826" s="679"/>
      <c r="J826" s="679"/>
      <c r="K826" s="679"/>
      <c r="L826" s="679"/>
      <c r="M826" s="679"/>
    </row>
    <row r="827" spans="1:13" ht="12.75">
      <c r="A827" s="678"/>
      <c r="B827" s="679"/>
      <c r="C827" s="679"/>
      <c r="D827" s="679"/>
      <c r="E827" s="679"/>
      <c r="F827" s="680"/>
      <c r="G827" s="679"/>
      <c r="H827" s="679"/>
      <c r="I827" s="679"/>
      <c r="J827" s="679"/>
      <c r="K827" s="679"/>
      <c r="L827" s="679"/>
      <c r="M827" s="679"/>
    </row>
    <row r="828" spans="1:13" ht="12.75">
      <c r="A828" s="678"/>
      <c r="B828" s="679"/>
      <c r="C828" s="679"/>
      <c r="D828" s="679"/>
      <c r="E828" s="679"/>
      <c r="F828" s="680"/>
      <c r="G828" s="679"/>
      <c r="H828" s="679"/>
      <c r="I828" s="679"/>
      <c r="J828" s="679"/>
      <c r="K828" s="679"/>
      <c r="L828" s="679"/>
      <c r="M828" s="679"/>
    </row>
    <row r="829" spans="1:13" ht="12.75">
      <c r="A829" s="678"/>
      <c r="B829" s="679"/>
      <c r="C829" s="679"/>
      <c r="D829" s="679"/>
      <c r="E829" s="679"/>
      <c r="F829" s="680"/>
      <c r="G829" s="679"/>
      <c r="H829" s="679"/>
      <c r="I829" s="679"/>
      <c r="J829" s="679"/>
      <c r="K829" s="679"/>
      <c r="L829" s="679"/>
      <c r="M829" s="679"/>
    </row>
    <row r="830" spans="1:13" ht="12.75">
      <c r="A830" s="678"/>
      <c r="B830" s="679"/>
      <c r="C830" s="679"/>
      <c r="D830" s="679"/>
      <c r="E830" s="679"/>
      <c r="F830" s="680"/>
      <c r="G830" s="679"/>
      <c r="H830" s="679"/>
      <c r="I830" s="679"/>
      <c r="J830" s="679"/>
      <c r="K830" s="679"/>
      <c r="L830" s="679"/>
      <c r="M830" s="679"/>
    </row>
    <row r="831" spans="1:13" ht="12.75">
      <c r="A831" s="678"/>
      <c r="B831" s="679"/>
      <c r="C831" s="679"/>
      <c r="D831" s="679"/>
      <c r="E831" s="679"/>
      <c r="F831" s="680"/>
      <c r="G831" s="679"/>
      <c r="H831" s="679"/>
      <c r="I831" s="679"/>
      <c r="J831" s="679"/>
      <c r="K831" s="679"/>
      <c r="L831" s="679"/>
      <c r="M831" s="679"/>
    </row>
    <row r="832" spans="1:13" ht="12.75">
      <c r="A832" s="678"/>
      <c r="B832" s="679"/>
      <c r="C832" s="679"/>
      <c r="D832" s="679"/>
      <c r="E832" s="679"/>
      <c r="F832" s="680"/>
      <c r="G832" s="679"/>
      <c r="H832" s="679"/>
      <c r="I832" s="679"/>
      <c r="J832" s="679"/>
      <c r="K832" s="679"/>
      <c r="L832" s="679"/>
      <c r="M832" s="679"/>
    </row>
    <row r="833" spans="1:13" ht="12.75">
      <c r="A833" s="678"/>
      <c r="B833" s="679"/>
      <c r="C833" s="679"/>
      <c r="D833" s="679"/>
      <c r="E833" s="679"/>
      <c r="F833" s="680"/>
      <c r="G833" s="679"/>
      <c r="H833" s="679"/>
      <c r="I833" s="679"/>
      <c r="J833" s="679"/>
      <c r="K833" s="679"/>
      <c r="L833" s="679"/>
      <c r="M833" s="679"/>
    </row>
    <row r="834" spans="1:13" ht="12.75">
      <c r="A834" s="678"/>
      <c r="B834" s="679"/>
      <c r="C834" s="679"/>
      <c r="D834" s="679"/>
      <c r="E834" s="679"/>
      <c r="F834" s="680"/>
      <c r="G834" s="679"/>
      <c r="H834" s="679"/>
      <c r="I834" s="679"/>
      <c r="J834" s="679"/>
      <c r="K834" s="679"/>
      <c r="L834" s="679"/>
      <c r="M834" s="679"/>
    </row>
    <row r="835" spans="1:13" ht="12.75">
      <c r="A835" s="678"/>
      <c r="B835" s="679"/>
      <c r="C835" s="679"/>
      <c r="D835" s="679"/>
      <c r="E835" s="679"/>
      <c r="F835" s="680"/>
      <c r="G835" s="679"/>
      <c r="H835" s="679"/>
      <c r="I835" s="679"/>
      <c r="J835" s="679"/>
      <c r="K835" s="679"/>
      <c r="L835" s="679"/>
      <c r="M835" s="679"/>
    </row>
    <row r="836" spans="1:13" ht="12.75">
      <c r="A836" s="678"/>
      <c r="B836" s="679"/>
      <c r="C836" s="679"/>
      <c r="D836" s="679"/>
      <c r="E836" s="679"/>
      <c r="F836" s="680"/>
      <c r="G836" s="679"/>
      <c r="H836" s="679"/>
      <c r="I836" s="679"/>
      <c r="J836" s="679"/>
      <c r="K836" s="679"/>
      <c r="L836" s="679"/>
      <c r="M836" s="679"/>
    </row>
    <row r="837" spans="1:13" ht="12.75">
      <c r="A837" s="678"/>
      <c r="B837" s="679"/>
      <c r="C837" s="679"/>
      <c r="D837" s="679"/>
      <c r="E837" s="679"/>
      <c r="F837" s="680"/>
      <c r="G837" s="679"/>
      <c r="H837" s="679"/>
      <c r="I837" s="679"/>
      <c r="J837" s="679"/>
      <c r="K837" s="679"/>
      <c r="L837" s="679"/>
      <c r="M837" s="679"/>
    </row>
    <row r="838" spans="1:13" ht="12.75">
      <c r="A838" s="678"/>
      <c r="B838" s="679"/>
      <c r="C838" s="679"/>
      <c r="D838" s="679"/>
      <c r="E838" s="679"/>
      <c r="F838" s="680"/>
      <c r="G838" s="679"/>
      <c r="H838" s="679"/>
      <c r="I838" s="679"/>
      <c r="J838" s="679"/>
      <c r="K838" s="679"/>
      <c r="L838" s="679"/>
      <c r="M838" s="679"/>
    </row>
    <row r="839" spans="1:13" ht="12.75">
      <c r="A839" s="678"/>
      <c r="B839" s="679"/>
      <c r="C839" s="679"/>
      <c r="D839" s="679"/>
      <c r="E839" s="679"/>
      <c r="F839" s="680"/>
      <c r="G839" s="679"/>
      <c r="H839" s="679"/>
      <c r="I839" s="679"/>
      <c r="J839" s="679"/>
      <c r="K839" s="679"/>
      <c r="L839" s="679"/>
      <c r="M839" s="679"/>
    </row>
    <row r="840" spans="1:13" ht="12.75">
      <c r="A840" s="678"/>
      <c r="B840" s="679"/>
      <c r="C840" s="679"/>
      <c r="D840" s="679"/>
      <c r="E840" s="679"/>
      <c r="F840" s="680"/>
      <c r="G840" s="679"/>
      <c r="H840" s="679"/>
      <c r="I840" s="679"/>
      <c r="J840" s="679"/>
      <c r="K840" s="679"/>
      <c r="L840" s="679"/>
      <c r="M840" s="679"/>
    </row>
    <row r="841" spans="1:13" ht="12.75">
      <c r="A841" s="678"/>
      <c r="B841" s="679"/>
      <c r="C841" s="679"/>
      <c r="D841" s="679"/>
      <c r="E841" s="679"/>
      <c r="F841" s="680"/>
      <c r="G841" s="679"/>
      <c r="H841" s="679"/>
      <c r="I841" s="679"/>
      <c r="J841" s="679"/>
      <c r="K841" s="679"/>
      <c r="L841" s="679"/>
      <c r="M841" s="679"/>
    </row>
    <row r="842" spans="1:13" ht="12.75">
      <c r="A842" s="678"/>
      <c r="B842" s="679"/>
      <c r="C842" s="679"/>
      <c r="D842" s="679"/>
      <c r="E842" s="679"/>
      <c r="F842" s="680"/>
      <c r="G842" s="679"/>
      <c r="H842" s="679"/>
      <c r="I842" s="679"/>
      <c r="J842" s="679"/>
      <c r="K842" s="679"/>
      <c r="L842" s="679"/>
      <c r="M842" s="679"/>
    </row>
    <row r="843" spans="1:13" ht="12.75">
      <c r="A843" s="678"/>
      <c r="B843" s="679"/>
      <c r="C843" s="679"/>
      <c r="D843" s="679"/>
      <c r="E843" s="679"/>
      <c r="F843" s="680"/>
      <c r="G843" s="679"/>
      <c r="H843" s="679"/>
      <c r="I843" s="679"/>
      <c r="J843" s="679"/>
      <c r="K843" s="679"/>
      <c r="L843" s="679"/>
      <c r="M843" s="679"/>
    </row>
    <row r="844" spans="1:13" ht="12.75">
      <c r="A844" s="678"/>
      <c r="B844" s="679"/>
      <c r="C844" s="679"/>
      <c r="D844" s="679"/>
      <c r="E844" s="679"/>
      <c r="F844" s="680"/>
      <c r="G844" s="679"/>
      <c r="H844" s="679"/>
      <c r="I844" s="679"/>
      <c r="J844" s="679"/>
      <c r="K844" s="679"/>
      <c r="L844" s="679"/>
      <c r="M844" s="679"/>
    </row>
    <row r="845" spans="1:13" ht="12.75">
      <c r="A845" s="678"/>
      <c r="B845" s="679"/>
      <c r="C845" s="679"/>
      <c r="D845" s="679"/>
      <c r="E845" s="679"/>
      <c r="F845" s="680"/>
      <c r="G845" s="679"/>
      <c r="H845" s="679"/>
      <c r="I845" s="679"/>
      <c r="J845" s="679"/>
      <c r="K845" s="679"/>
      <c r="L845" s="679"/>
      <c r="M845" s="679"/>
    </row>
    <row r="846" spans="1:13" ht="12.75">
      <c r="A846" s="678"/>
      <c r="B846" s="679"/>
      <c r="C846" s="679"/>
      <c r="D846" s="679"/>
      <c r="E846" s="679"/>
      <c r="F846" s="680"/>
      <c r="G846" s="679"/>
      <c r="H846" s="679"/>
      <c r="I846" s="679"/>
      <c r="J846" s="679"/>
      <c r="K846" s="679"/>
      <c r="L846" s="679"/>
      <c r="M846" s="679"/>
    </row>
    <row r="847" spans="1:13" ht="12.75">
      <c r="A847" s="678"/>
      <c r="B847" s="679"/>
      <c r="C847" s="679"/>
      <c r="D847" s="679"/>
      <c r="E847" s="679"/>
      <c r="F847" s="680"/>
      <c r="G847" s="679"/>
      <c r="H847" s="679"/>
      <c r="I847" s="679"/>
      <c r="J847" s="679"/>
      <c r="K847" s="679"/>
      <c r="L847" s="679"/>
      <c r="M847" s="679"/>
    </row>
    <row r="848" spans="1:13" ht="12.75">
      <c r="A848" s="678"/>
      <c r="B848" s="679"/>
      <c r="C848" s="679"/>
      <c r="D848" s="679"/>
      <c r="E848" s="679"/>
      <c r="F848" s="680"/>
      <c r="G848" s="679"/>
      <c r="H848" s="679"/>
      <c r="I848" s="679"/>
      <c r="J848" s="679"/>
      <c r="K848" s="679"/>
      <c r="L848" s="679"/>
      <c r="M848" s="679"/>
    </row>
    <row r="849" spans="1:13" ht="12.75">
      <c r="A849" s="678"/>
      <c r="B849" s="679"/>
      <c r="C849" s="679"/>
      <c r="D849" s="679"/>
      <c r="E849" s="679"/>
      <c r="F849" s="680"/>
      <c r="G849" s="679"/>
      <c r="H849" s="679"/>
      <c r="I849" s="679"/>
      <c r="J849" s="679"/>
      <c r="K849" s="679"/>
      <c r="L849" s="679"/>
      <c r="M849" s="679"/>
    </row>
    <row r="850" spans="1:13" ht="12.75">
      <c r="A850" s="678"/>
      <c r="B850" s="679"/>
      <c r="C850" s="679"/>
      <c r="D850" s="679"/>
      <c r="E850" s="679"/>
      <c r="F850" s="680"/>
      <c r="G850" s="679"/>
      <c r="H850" s="679"/>
      <c r="I850" s="679"/>
      <c r="J850" s="679"/>
      <c r="K850" s="679"/>
      <c r="L850" s="679"/>
      <c r="M850" s="679"/>
    </row>
    <row r="851" spans="1:13" ht="12.75">
      <c r="A851" s="678"/>
      <c r="B851" s="679"/>
      <c r="C851" s="679"/>
      <c r="D851" s="679"/>
      <c r="E851" s="679"/>
      <c r="F851" s="680"/>
      <c r="G851" s="679"/>
      <c r="H851" s="679"/>
      <c r="I851" s="679"/>
      <c r="J851" s="679"/>
      <c r="K851" s="679"/>
      <c r="L851" s="679"/>
      <c r="M851" s="679"/>
    </row>
    <row r="852" spans="1:13" ht="12.75">
      <c r="A852" s="678"/>
      <c r="B852" s="679"/>
      <c r="C852" s="679"/>
      <c r="D852" s="679"/>
      <c r="E852" s="679"/>
      <c r="F852" s="680"/>
      <c r="G852" s="679"/>
      <c r="H852" s="679"/>
      <c r="I852" s="679"/>
      <c r="J852" s="679"/>
      <c r="K852" s="679"/>
      <c r="L852" s="679"/>
      <c r="M852" s="679"/>
    </row>
    <row r="853" spans="1:13" ht="12.75">
      <c r="A853" s="678"/>
      <c r="B853" s="679"/>
      <c r="C853" s="679"/>
      <c r="D853" s="679"/>
      <c r="E853" s="679"/>
      <c r="F853" s="680"/>
      <c r="G853" s="679"/>
      <c r="H853" s="679"/>
      <c r="I853" s="679"/>
      <c r="J853" s="679"/>
      <c r="K853" s="679"/>
      <c r="L853" s="679"/>
      <c r="M853" s="679"/>
    </row>
    <row r="854" spans="1:13" ht="12.75">
      <c r="A854" s="678"/>
      <c r="B854" s="679"/>
      <c r="C854" s="679"/>
      <c r="D854" s="679"/>
      <c r="E854" s="679"/>
      <c r="F854" s="680"/>
      <c r="G854" s="679"/>
      <c r="H854" s="679"/>
      <c r="I854" s="679"/>
      <c r="J854" s="679"/>
      <c r="K854" s="679"/>
      <c r="L854" s="679"/>
      <c r="M854" s="679"/>
    </row>
    <row r="855" spans="1:13" ht="12.75">
      <c r="A855" s="678"/>
      <c r="B855" s="679"/>
      <c r="C855" s="679"/>
      <c r="D855" s="679"/>
      <c r="E855" s="679"/>
      <c r="F855" s="680"/>
      <c r="G855" s="679"/>
      <c r="H855" s="679"/>
      <c r="I855" s="679"/>
      <c r="J855" s="679"/>
      <c r="K855" s="679"/>
      <c r="L855" s="679"/>
      <c r="M855" s="679"/>
    </row>
    <row r="856" spans="1:13" ht="12.75">
      <c r="A856" s="678"/>
      <c r="B856" s="679"/>
      <c r="C856" s="679"/>
      <c r="D856" s="679"/>
      <c r="E856" s="679"/>
      <c r="F856" s="680"/>
      <c r="G856" s="679"/>
      <c r="H856" s="679"/>
      <c r="I856" s="679"/>
      <c r="J856" s="679"/>
      <c r="K856" s="679"/>
      <c r="L856" s="679"/>
      <c r="M856" s="679"/>
    </row>
    <row r="857" spans="1:13" ht="12.75">
      <c r="A857" s="678"/>
      <c r="B857" s="679"/>
      <c r="C857" s="679"/>
      <c r="D857" s="679"/>
      <c r="E857" s="679"/>
      <c r="F857" s="680"/>
      <c r="G857" s="679"/>
      <c r="H857" s="679"/>
      <c r="I857" s="679"/>
      <c r="J857" s="679"/>
      <c r="K857" s="679"/>
      <c r="L857" s="679"/>
      <c r="M857" s="679"/>
    </row>
    <row r="858" spans="1:13" ht="12.75">
      <c r="A858" s="678"/>
      <c r="B858" s="679"/>
      <c r="C858" s="679"/>
      <c r="D858" s="679"/>
      <c r="E858" s="679"/>
      <c r="F858" s="680"/>
      <c r="G858" s="679"/>
      <c r="H858" s="679"/>
      <c r="I858" s="679"/>
      <c r="J858" s="679"/>
      <c r="K858" s="679"/>
      <c r="L858" s="679"/>
      <c r="M858" s="679"/>
    </row>
    <row r="859" spans="1:13" ht="12.75">
      <c r="A859" s="678"/>
      <c r="B859" s="679"/>
      <c r="C859" s="679"/>
      <c r="D859" s="679"/>
      <c r="E859" s="679"/>
      <c r="F859" s="680"/>
      <c r="G859" s="679"/>
      <c r="H859" s="679"/>
      <c r="I859" s="679"/>
      <c r="J859" s="679"/>
      <c r="K859" s="679"/>
      <c r="L859" s="679"/>
      <c r="M859" s="679"/>
    </row>
    <row r="860" spans="1:13" ht="12.75">
      <c r="A860" s="678"/>
      <c r="B860" s="679"/>
      <c r="C860" s="679"/>
      <c r="D860" s="679"/>
      <c r="E860" s="679"/>
      <c r="F860" s="680"/>
      <c r="G860" s="679"/>
      <c r="H860" s="679"/>
      <c r="I860" s="679"/>
      <c r="J860" s="679"/>
      <c r="K860" s="679"/>
      <c r="L860" s="679"/>
      <c r="M860" s="679"/>
    </row>
    <row r="861" spans="1:13" ht="12.75">
      <c r="A861" s="678"/>
      <c r="B861" s="679"/>
      <c r="C861" s="679"/>
      <c r="D861" s="679"/>
      <c r="E861" s="679"/>
      <c r="F861" s="680"/>
      <c r="G861" s="679"/>
      <c r="H861" s="679"/>
      <c r="I861" s="679"/>
      <c r="J861" s="679"/>
      <c r="K861" s="679"/>
      <c r="L861" s="679"/>
      <c r="M861" s="679"/>
    </row>
    <row r="862" spans="1:13" ht="12.75">
      <c r="A862" s="678"/>
      <c r="B862" s="679"/>
      <c r="C862" s="679"/>
      <c r="D862" s="679"/>
      <c r="E862" s="679"/>
      <c r="F862" s="680"/>
      <c r="G862" s="679"/>
      <c r="H862" s="679"/>
      <c r="I862" s="679"/>
      <c r="J862" s="679"/>
      <c r="K862" s="679"/>
      <c r="L862" s="679"/>
      <c r="M862" s="679"/>
    </row>
    <row r="863" spans="1:13" ht="12.75">
      <c r="A863" s="678"/>
      <c r="B863" s="679"/>
      <c r="C863" s="679"/>
      <c r="D863" s="679"/>
      <c r="E863" s="679"/>
      <c r="F863" s="680"/>
      <c r="G863" s="679"/>
      <c r="H863" s="679"/>
      <c r="I863" s="679"/>
      <c r="J863" s="679"/>
      <c r="K863" s="679"/>
      <c r="L863" s="679"/>
      <c r="M863" s="679"/>
    </row>
    <row r="864" spans="1:13" ht="12.75">
      <c r="A864" s="678"/>
      <c r="B864" s="679"/>
      <c r="C864" s="679"/>
      <c r="D864" s="679"/>
      <c r="E864" s="679"/>
      <c r="F864" s="680"/>
      <c r="G864" s="679"/>
      <c r="H864" s="679"/>
      <c r="I864" s="679"/>
      <c r="J864" s="679"/>
      <c r="K864" s="679"/>
      <c r="L864" s="679"/>
      <c r="M864" s="679"/>
    </row>
    <row r="865" spans="1:13" ht="12.75">
      <c r="A865" s="678"/>
      <c r="B865" s="679"/>
      <c r="C865" s="679"/>
      <c r="D865" s="679"/>
      <c r="E865" s="679"/>
      <c r="F865" s="680"/>
      <c r="G865" s="679"/>
      <c r="H865" s="679"/>
      <c r="I865" s="679"/>
      <c r="J865" s="679"/>
      <c r="K865" s="679"/>
      <c r="L865" s="679"/>
      <c r="M865" s="679"/>
    </row>
    <row r="866" spans="1:13" ht="12.75">
      <c r="A866" s="678"/>
      <c r="B866" s="679"/>
      <c r="C866" s="679"/>
      <c r="D866" s="679"/>
      <c r="E866" s="679"/>
      <c r="F866" s="680"/>
      <c r="G866" s="679"/>
      <c r="H866" s="679"/>
      <c r="I866" s="679"/>
      <c r="J866" s="679"/>
      <c r="K866" s="679"/>
      <c r="L866" s="679"/>
      <c r="M866" s="679"/>
    </row>
    <row r="867" spans="1:13" ht="12.75">
      <c r="A867" s="678"/>
      <c r="B867" s="679"/>
      <c r="C867" s="679"/>
      <c r="D867" s="679"/>
      <c r="E867" s="679"/>
      <c r="F867" s="680"/>
      <c r="G867" s="679"/>
      <c r="H867" s="679"/>
      <c r="I867" s="679"/>
      <c r="J867" s="679"/>
      <c r="K867" s="679"/>
      <c r="L867" s="679"/>
      <c r="M867" s="679"/>
    </row>
    <row r="868" spans="1:13" ht="12.75">
      <c r="A868" s="678"/>
      <c r="B868" s="679"/>
      <c r="C868" s="679"/>
      <c r="D868" s="679"/>
      <c r="E868" s="679"/>
      <c r="F868" s="680"/>
      <c r="G868" s="679"/>
      <c r="H868" s="679"/>
      <c r="I868" s="679"/>
      <c r="J868" s="679"/>
      <c r="K868" s="679"/>
      <c r="L868" s="679"/>
      <c r="M868" s="679"/>
    </row>
    <row r="869" spans="1:13" ht="12.75">
      <c r="A869" s="678"/>
      <c r="B869" s="679"/>
      <c r="C869" s="679"/>
      <c r="D869" s="679"/>
      <c r="E869" s="679"/>
      <c r="F869" s="680"/>
      <c r="G869" s="679"/>
      <c r="H869" s="679"/>
      <c r="I869" s="679"/>
      <c r="J869" s="679"/>
      <c r="K869" s="679"/>
      <c r="L869" s="679"/>
      <c r="M869" s="679"/>
    </row>
    <row r="870" spans="1:13" ht="12.75">
      <c r="A870" s="678"/>
      <c r="B870" s="679"/>
      <c r="C870" s="679"/>
      <c r="D870" s="679"/>
      <c r="E870" s="679"/>
      <c r="F870" s="680"/>
      <c r="G870" s="679"/>
      <c r="H870" s="679"/>
      <c r="I870" s="679"/>
      <c r="J870" s="679"/>
      <c r="K870" s="679"/>
      <c r="L870" s="679"/>
      <c r="M870" s="679"/>
    </row>
    <row r="871" spans="1:13" ht="12.75">
      <c r="A871" s="678"/>
      <c r="B871" s="679"/>
      <c r="C871" s="679"/>
      <c r="D871" s="679"/>
      <c r="E871" s="679"/>
      <c r="F871" s="680"/>
      <c r="G871" s="679"/>
      <c r="H871" s="679"/>
      <c r="I871" s="679"/>
      <c r="J871" s="679"/>
      <c r="K871" s="679"/>
      <c r="L871" s="679"/>
      <c r="M871" s="679"/>
    </row>
    <row r="872" spans="1:13" ht="12.75">
      <c r="A872" s="678"/>
      <c r="B872" s="679"/>
      <c r="C872" s="679"/>
      <c r="D872" s="679"/>
      <c r="E872" s="679"/>
      <c r="F872" s="680"/>
      <c r="G872" s="679"/>
      <c r="H872" s="679"/>
      <c r="I872" s="679"/>
      <c r="J872" s="679"/>
      <c r="K872" s="679"/>
      <c r="L872" s="679"/>
      <c r="M872" s="679"/>
    </row>
  </sheetData>
  <mergeCells count="5">
    <mergeCell ref="BE3:BG3"/>
    <mergeCell ref="A4:B4"/>
    <mergeCell ref="A2:B2"/>
    <mergeCell ref="A3:B3"/>
    <mergeCell ref="C2:W2"/>
  </mergeCells>
  <printOptions horizontalCentered="1"/>
  <pageMargins left="0.23" right="0.23" top="1.2" bottom="0.77" header="0.2" footer="0.37"/>
  <pageSetup firstPageNumber="4" useFirstPageNumber="1" horizontalDpi="600" verticalDpi="600" orientation="portrait" paperSize="5" scale="80" r:id="rId1"/>
  <headerFooter alignWithMargins="0">
    <oddHeader>&amp;L&amp;"Arial,Bold"&amp;16TABLE 3 - -  FY 2001-2002 MFP
LEVEL 1 BASE PER PUPIL AND LEVEL 2 LOCAL INCENTIVE</oddHeader>
    <oddFooter>&amp;L&amp;F,&amp;A&amp;R&amp;P</oddFooter>
  </headerFooter>
  <colBreaks count="3" manualBreakCount="3">
    <brk id="23" max="65535" man="1"/>
    <brk id="30" max="65535" man="1"/>
    <brk id="5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J84"/>
  <sheetViews>
    <sheetView tabSelected="1" zoomScale="85" zoomScaleNormal="85" workbookViewId="0" topLeftCell="V1">
      <selection activeCell="AA2" sqref="AA2"/>
    </sheetView>
  </sheetViews>
  <sheetFormatPr defaultColWidth="12.57421875" defaultRowHeight="12.75"/>
  <cols>
    <col min="1" max="1" width="3.00390625" style="2" customWidth="1"/>
    <col min="2" max="2" width="19.28125" style="2" bestFit="1" customWidth="1"/>
    <col min="3" max="4" width="14.28125" style="2" customWidth="1"/>
    <col min="5" max="5" width="7.421875" style="2" customWidth="1"/>
    <col min="6" max="6" width="16.7109375" style="2" customWidth="1"/>
    <col min="7" max="7" width="15.140625" style="2" customWidth="1"/>
    <col min="8" max="8" width="16.7109375" style="2" customWidth="1"/>
    <col min="9" max="9" width="15.28125" style="2" customWidth="1"/>
    <col min="10" max="10" width="16.421875" style="2" customWidth="1"/>
    <col min="11" max="11" width="7.421875" style="2" customWidth="1"/>
    <col min="12" max="12" width="13.28125" style="2" customWidth="1"/>
    <col min="13" max="13" width="8.57421875" style="2" customWidth="1"/>
    <col min="14" max="14" width="14.8515625" style="2" customWidth="1"/>
    <col min="15" max="15" width="15.28125" style="2" bestFit="1" customWidth="1"/>
    <col min="16" max="16" width="14.8515625" style="2" customWidth="1"/>
    <col min="17" max="17" width="15.28125" style="2" customWidth="1"/>
    <col min="18" max="18" width="15.28125" style="2" bestFit="1" customWidth="1"/>
    <col min="19" max="19" width="14.28125" style="2" customWidth="1"/>
    <col min="20" max="20" width="14.7109375" style="2" hidden="1" customWidth="1"/>
    <col min="21" max="21" width="11.140625" style="2" hidden="1" customWidth="1"/>
    <col min="22" max="22" width="11.140625" style="2" customWidth="1"/>
    <col min="23" max="23" width="18.57421875" style="2" customWidth="1"/>
    <col min="24" max="24" width="12.140625" style="2" customWidth="1"/>
    <col min="25" max="25" width="12.28125" style="2" customWidth="1"/>
    <col min="26" max="26" width="8.421875" style="2" customWidth="1"/>
    <col min="27" max="27" width="13.00390625" style="2" bestFit="1" customWidth="1"/>
    <col min="28" max="28" width="13.57421875" style="2" customWidth="1"/>
    <col min="29" max="29" width="12.140625" style="2" bestFit="1" customWidth="1"/>
    <col min="30" max="30" width="14.7109375" style="2" customWidth="1"/>
    <col min="31" max="31" width="15.28125" style="2" bestFit="1" customWidth="1"/>
    <col min="32" max="16384" width="12.57421875" style="2" customWidth="1"/>
  </cols>
  <sheetData>
    <row r="1" spans="1:31" ht="66.75" customHeight="1">
      <c r="A1" s="385"/>
      <c r="B1" s="430"/>
      <c r="C1" s="862" t="s">
        <v>559</v>
      </c>
      <c r="D1" s="867"/>
      <c r="E1" s="867"/>
      <c r="F1" s="867"/>
      <c r="G1" s="865"/>
      <c r="H1" s="865"/>
      <c r="I1" s="866"/>
      <c r="J1" s="862" t="s">
        <v>561</v>
      </c>
      <c r="K1" s="865"/>
      <c r="L1" s="865"/>
      <c r="M1" s="865"/>
      <c r="N1" s="865"/>
      <c r="O1" s="865"/>
      <c r="P1" s="866"/>
      <c r="Q1" s="862" t="s">
        <v>560</v>
      </c>
      <c r="R1" s="865"/>
      <c r="S1" s="865"/>
      <c r="T1" s="865"/>
      <c r="U1" s="865"/>
      <c r="V1" s="868"/>
      <c r="W1" s="429" t="s">
        <v>562</v>
      </c>
      <c r="X1" s="862" t="s">
        <v>552</v>
      </c>
      <c r="Y1" s="863"/>
      <c r="Z1" s="863"/>
      <c r="AA1" s="864"/>
      <c r="AB1" s="862" t="s">
        <v>507</v>
      </c>
      <c r="AC1" s="863"/>
      <c r="AD1" s="864"/>
      <c r="AE1" s="429" t="s">
        <v>556</v>
      </c>
    </row>
    <row r="2" spans="1:36" ht="49.5" customHeight="1">
      <c r="A2" s="486"/>
      <c r="B2" s="487"/>
      <c r="C2" s="742" t="s">
        <v>623</v>
      </c>
      <c r="D2" s="742" t="s">
        <v>624</v>
      </c>
      <c r="E2" s="449"/>
      <c r="F2" s="742" t="s">
        <v>4</v>
      </c>
      <c r="G2" s="742" t="s">
        <v>1</v>
      </c>
      <c r="H2" s="742" t="s">
        <v>2</v>
      </c>
      <c r="I2" s="742" t="s">
        <v>625</v>
      </c>
      <c r="J2" s="742" t="s">
        <v>626</v>
      </c>
      <c r="K2" s="742" t="s">
        <v>627</v>
      </c>
      <c r="L2" s="742" t="s">
        <v>628</v>
      </c>
      <c r="M2" s="450"/>
      <c r="N2" s="742" t="s">
        <v>3</v>
      </c>
      <c r="O2" s="742" t="s">
        <v>629</v>
      </c>
      <c r="P2" s="742" t="s">
        <v>630</v>
      </c>
      <c r="Q2" s="742" t="s">
        <v>639</v>
      </c>
      <c r="R2" s="742" t="s">
        <v>631</v>
      </c>
      <c r="S2" s="742" t="s">
        <v>632</v>
      </c>
      <c r="T2" s="450"/>
      <c r="U2" s="450"/>
      <c r="V2" s="450"/>
      <c r="W2" s="742" t="s">
        <v>633</v>
      </c>
      <c r="X2" s="742" t="s">
        <v>634</v>
      </c>
      <c r="Y2" s="742" t="s">
        <v>639</v>
      </c>
      <c r="Z2" s="742" t="s">
        <v>635</v>
      </c>
      <c r="AA2" s="742" t="s">
        <v>736</v>
      </c>
      <c r="AB2" s="742" t="s">
        <v>683</v>
      </c>
      <c r="AC2" s="742" t="s">
        <v>657</v>
      </c>
      <c r="AD2" s="742" t="s">
        <v>637</v>
      </c>
      <c r="AE2" s="742" t="s">
        <v>636</v>
      </c>
      <c r="AF2" s="1"/>
      <c r="AG2" s="1"/>
      <c r="AH2" s="1"/>
      <c r="AI2" s="1"/>
      <c r="AJ2" s="1"/>
    </row>
    <row r="3" spans="1:31" ht="78" customHeight="1">
      <c r="A3" s="391"/>
      <c r="B3" s="392" t="s">
        <v>129</v>
      </c>
      <c r="C3" s="393" t="str">
        <f>'Table 3 Levels 1&amp;2'!AN6</f>
        <v>2001-2002    Levels 1 and 2 STATE SHARE OF COST</v>
      </c>
      <c r="D3" s="394" t="s">
        <v>491</v>
      </c>
      <c r="E3" s="395" t="s">
        <v>487</v>
      </c>
      <c r="F3" s="394" t="s">
        <v>506</v>
      </c>
      <c r="G3" s="474" t="s">
        <v>718</v>
      </c>
      <c r="H3" s="859" t="s">
        <v>565</v>
      </c>
      <c r="I3" s="857" t="s">
        <v>483</v>
      </c>
      <c r="J3" s="396" t="s">
        <v>484</v>
      </c>
      <c r="K3" s="396" t="s">
        <v>500</v>
      </c>
      <c r="L3" s="396" t="s">
        <v>485</v>
      </c>
      <c r="M3" s="396" t="s">
        <v>501</v>
      </c>
      <c r="N3" s="396" t="s">
        <v>486</v>
      </c>
      <c r="O3" s="396" t="s">
        <v>488</v>
      </c>
      <c r="P3" s="396" t="s">
        <v>489</v>
      </c>
      <c r="Q3" s="474" t="s">
        <v>654</v>
      </c>
      <c r="R3" s="488" t="s">
        <v>682</v>
      </c>
      <c r="S3" s="436" t="s">
        <v>490</v>
      </c>
      <c r="T3" s="408" t="s">
        <v>494</v>
      </c>
      <c r="U3" s="408" t="s">
        <v>493</v>
      </c>
      <c r="V3" s="857" t="s">
        <v>550</v>
      </c>
      <c r="W3" s="433" t="s">
        <v>563</v>
      </c>
      <c r="X3" s="455" t="s">
        <v>553</v>
      </c>
      <c r="Y3" s="455" t="s">
        <v>693</v>
      </c>
      <c r="Z3" s="433" t="s">
        <v>266</v>
      </c>
      <c r="AA3" s="433" t="s">
        <v>554</v>
      </c>
      <c r="AB3" s="855" t="s">
        <v>684</v>
      </c>
      <c r="AC3" s="396" t="s">
        <v>549</v>
      </c>
      <c r="AD3" s="396" t="s">
        <v>564</v>
      </c>
      <c r="AE3" s="396" t="s">
        <v>555</v>
      </c>
    </row>
    <row r="4" spans="1:31" ht="28.5" customHeight="1">
      <c r="A4" s="376"/>
      <c r="B4" s="377"/>
      <c r="C4" s="291"/>
      <c r="D4" s="378"/>
      <c r="E4" s="378"/>
      <c r="F4" s="378"/>
      <c r="G4" s="473">
        <v>16200</v>
      </c>
      <c r="H4" s="860"/>
      <c r="I4" s="861"/>
      <c r="J4" s="379"/>
      <c r="K4" s="379"/>
      <c r="L4" s="379"/>
      <c r="M4" s="380"/>
      <c r="N4" s="379"/>
      <c r="O4" s="379"/>
      <c r="P4" s="379"/>
      <c r="Q4" s="291"/>
      <c r="R4" s="291"/>
      <c r="S4" s="381">
        <v>2060</v>
      </c>
      <c r="T4" s="437"/>
      <c r="U4" s="437"/>
      <c r="V4" s="858"/>
      <c r="W4" s="381">
        <v>2060</v>
      </c>
      <c r="X4" s="438"/>
      <c r="Y4" s="438"/>
      <c r="Z4" s="438"/>
      <c r="AA4" s="439">
        <f>ROUND(4244400/$Y$73,0)</f>
        <v>15434</v>
      </c>
      <c r="AB4" s="856"/>
      <c r="AC4" s="428"/>
      <c r="AD4" s="382"/>
      <c r="AE4" s="382"/>
    </row>
    <row r="5" spans="1:31" ht="14.25" customHeight="1">
      <c r="A5" s="371"/>
      <c r="B5" s="372"/>
      <c r="C5" s="373" t="s">
        <v>131</v>
      </c>
      <c r="D5" s="374" t="s">
        <v>373</v>
      </c>
      <c r="E5" s="374" t="s">
        <v>132</v>
      </c>
      <c r="F5" s="375" t="s">
        <v>133</v>
      </c>
      <c r="G5" s="375" t="s">
        <v>134</v>
      </c>
      <c r="H5" s="375" t="s">
        <v>135</v>
      </c>
      <c r="I5" s="375" t="s">
        <v>136</v>
      </c>
      <c r="J5" s="375" t="s">
        <v>137</v>
      </c>
      <c r="K5" s="375" t="s">
        <v>138</v>
      </c>
      <c r="L5" s="375" t="s">
        <v>139</v>
      </c>
      <c r="M5" s="375" t="s">
        <v>140</v>
      </c>
      <c r="N5" s="375" t="s">
        <v>141</v>
      </c>
      <c r="O5" s="375" t="s">
        <v>214</v>
      </c>
      <c r="P5" s="375" t="s">
        <v>321</v>
      </c>
      <c r="Q5" s="375" t="s">
        <v>322</v>
      </c>
      <c r="R5" s="375" t="s">
        <v>215</v>
      </c>
      <c r="S5" s="375" t="s">
        <v>323</v>
      </c>
      <c r="T5" s="375"/>
      <c r="U5" s="375"/>
      <c r="V5" s="375" t="s">
        <v>324</v>
      </c>
      <c r="W5" s="375" t="s">
        <v>325</v>
      </c>
      <c r="X5" s="375" t="s">
        <v>326</v>
      </c>
      <c r="Y5" s="375" t="s">
        <v>327</v>
      </c>
      <c r="Z5" s="375" t="s">
        <v>328</v>
      </c>
      <c r="AA5" s="375" t="s">
        <v>329</v>
      </c>
      <c r="AB5" s="375" t="s">
        <v>218</v>
      </c>
      <c r="AC5" s="375" t="s">
        <v>219</v>
      </c>
      <c r="AD5" s="375" t="s">
        <v>220</v>
      </c>
      <c r="AE5" s="375" t="s">
        <v>330</v>
      </c>
    </row>
    <row r="6" spans="1:31" ht="12.75">
      <c r="A6" s="660">
        <v>1</v>
      </c>
      <c r="B6" s="660" t="s">
        <v>142</v>
      </c>
      <c r="C6" s="23">
        <f>'Table 3 Levels 1&amp;2'!AN9</f>
        <v>33285259</v>
      </c>
      <c r="D6" s="23">
        <f>ROUND(C6/'Table 3 Levels 1&amp;2'!C9,2)</f>
        <v>3472.64</v>
      </c>
      <c r="E6" s="684">
        <f>RANK(D6,$D$6:$D$71)</f>
        <v>43</v>
      </c>
      <c r="F6" s="23">
        <v>33732365.4317</v>
      </c>
      <c r="G6" s="685">
        <f>ROUND($G$4*X6,0)</f>
        <v>275400</v>
      </c>
      <c r="H6" s="23">
        <f>+F6-G6</f>
        <v>33456965.4317</v>
      </c>
      <c r="I6" s="23">
        <f aca="true" t="shared" si="0" ref="I6:I37">C6-H6</f>
        <v>-171706.43169999868</v>
      </c>
      <c r="J6" s="22">
        <f>IF(I6&gt;0,I6,0)</f>
        <v>0</v>
      </c>
      <c r="K6" s="22">
        <f>ROUND(J6/'Table 8 Membership'!W9,0)</f>
        <v>0</v>
      </c>
      <c r="L6" s="22">
        <f>IF(I6&lt;0,I6,0)</f>
        <v>-171706.43169999868</v>
      </c>
      <c r="M6" s="134">
        <f>IF(L6&lt;0,1,0)</f>
        <v>1</v>
      </c>
      <c r="N6" s="22">
        <v>338511.1661305372</v>
      </c>
      <c r="O6" s="22">
        <f>ROUND(D6*'Table 8 Membership'!Y9*-1,0)</f>
        <v>0</v>
      </c>
      <c r="P6" s="310">
        <f aca="true" t="shared" si="1" ref="P6:P37">+N6+J6+O6</f>
        <v>338511.1661305372</v>
      </c>
      <c r="Q6" s="686">
        <v>786.3080951571465</v>
      </c>
      <c r="R6" s="324">
        <f>ROUND((P6/1.131)/Q6,2)</f>
        <v>380.64</v>
      </c>
      <c r="S6" s="22">
        <f aca="true" t="shared" si="2" ref="S6:S37">IF(R6&lt;$S$4,ROUND(($S$4-R6)*Q6*1.131,0),0)</f>
        <v>1493479</v>
      </c>
      <c r="T6" s="22">
        <f>IF(S6&gt;0,'Table 3 Levels 1&amp;2'!C9,0)</f>
        <v>9585</v>
      </c>
      <c r="U6" s="134">
        <f>ROUND(S6/'Table 3 Levels 1&amp;2'!C9,0)</f>
        <v>156</v>
      </c>
      <c r="V6" s="134">
        <f>IF(S6&gt;0,1,0)</f>
        <v>1</v>
      </c>
      <c r="W6" s="22">
        <f aca="true" t="shared" si="3" ref="W6:W37">IF(R6&gt;$W$4,ROUND((R6-$W$4)*Q6*1.131*-1,0),0)</f>
        <v>0</v>
      </c>
      <c r="X6" s="687">
        <v>17</v>
      </c>
      <c r="Y6" s="687">
        <f>'[2]Sheet1'!C4</f>
        <v>12</v>
      </c>
      <c r="Z6" s="134">
        <f>+Y6-X6</f>
        <v>-5</v>
      </c>
      <c r="AA6" s="22">
        <f>ROUND($AA$4*Y6,0)+2</f>
        <v>185210</v>
      </c>
      <c r="AB6" s="308">
        <v>0</v>
      </c>
      <c r="AC6" s="308">
        <v>0</v>
      </c>
      <c r="AD6" s="308">
        <f>IF(ROUND(AB6*'Table 3 Levels 1&amp;2'!C9,0)&gt;'Table 4 Level 3'!AC6,AC6,ROUND(AB6*'Table 3 Levels 1&amp;2'!C9,0))</f>
        <v>0</v>
      </c>
      <c r="AE6" s="308">
        <f aca="true" t="shared" si="4" ref="AE6:AE37">S6+W6+AA6+AD6</f>
        <v>1678689</v>
      </c>
    </row>
    <row r="7" spans="1:31" ht="12.75">
      <c r="A7" s="660">
        <v>2</v>
      </c>
      <c r="B7" s="660" t="s">
        <v>143</v>
      </c>
      <c r="C7" s="23">
        <f>'Table 3 Levels 1&amp;2'!AN10</f>
        <v>16905084</v>
      </c>
      <c r="D7" s="23">
        <f>ROUND(C7/'Table 3 Levels 1&amp;2'!C10,2)</f>
        <v>4071.55</v>
      </c>
      <c r="E7" s="684">
        <f aca="true" t="shared" si="5" ref="E7:E70">RANK(D7,$D$6:$D$71)</f>
        <v>16</v>
      </c>
      <c r="F7" s="23">
        <v>16680900.6062</v>
      </c>
      <c r="G7" s="685">
        <f aca="true" t="shared" si="6" ref="G7:G70">ROUND($G$4*X7,0)</f>
        <v>0</v>
      </c>
      <c r="H7" s="23">
        <f aca="true" t="shared" si="7" ref="H7:H70">+F7-G7</f>
        <v>16680900.6062</v>
      </c>
      <c r="I7" s="23">
        <f t="shared" si="0"/>
        <v>224183.39379999973</v>
      </c>
      <c r="J7" s="22">
        <f aca="true" t="shared" si="8" ref="J7:J70">IF(I7&gt;0,I7,0)</f>
        <v>224183.39379999973</v>
      </c>
      <c r="K7" s="22">
        <f>ROUND(J7/'Table 8 Membership'!W10,0)</f>
        <v>53</v>
      </c>
      <c r="L7" s="22">
        <f aca="true" t="shared" si="9" ref="L7:L70">IF(I7&lt;0,I7,0)</f>
        <v>0</v>
      </c>
      <c r="M7" s="134">
        <f aca="true" t="shared" si="10" ref="M7:M70">IF(L7&lt;0,1,0)</f>
        <v>0</v>
      </c>
      <c r="N7" s="22">
        <v>167397.20531564215</v>
      </c>
      <c r="O7" s="22">
        <f>ROUND(D7*'Table 8 Membership'!Y10*-1,0)</f>
        <v>0</v>
      </c>
      <c r="P7" s="310">
        <f t="shared" si="1"/>
        <v>391580.5991156419</v>
      </c>
      <c r="Q7" s="686">
        <v>399.5</v>
      </c>
      <c r="R7" s="324">
        <f aca="true" t="shared" si="11" ref="R7:R70">ROUND((P7/1.131)/Q7,2)</f>
        <v>866.65</v>
      </c>
      <c r="S7" s="22">
        <f t="shared" si="2"/>
        <v>539197</v>
      </c>
      <c r="T7" s="22">
        <f>IF(S7&gt;0,'Table 3 Levels 1&amp;2'!C10,0)</f>
        <v>4152</v>
      </c>
      <c r="U7" s="134">
        <f>ROUND(S7/'Table 3 Levels 1&amp;2'!C10,0)</f>
        <v>130</v>
      </c>
      <c r="V7" s="134">
        <f aca="true" t="shared" si="12" ref="V7:V70">IF(S7&gt;0,1,0)</f>
        <v>1</v>
      </c>
      <c r="W7" s="22">
        <f t="shared" si="3"/>
        <v>0</v>
      </c>
      <c r="X7" s="687">
        <v>0</v>
      </c>
      <c r="Y7" s="687">
        <f>'[2]Sheet1'!C5</f>
        <v>0</v>
      </c>
      <c r="Z7" s="134">
        <f aca="true" t="shared" si="13" ref="Z7:Z70">+Y7-X7</f>
        <v>0</v>
      </c>
      <c r="AA7" s="22">
        <f aca="true" t="shared" si="14" ref="AA7:AA70">ROUND($AA$4*Y7,0)</f>
        <v>0</v>
      </c>
      <c r="AB7" s="308">
        <v>0</v>
      </c>
      <c r="AC7" s="308">
        <v>0</v>
      </c>
      <c r="AD7" s="308">
        <f>IF(ROUND(AB7*'Table 3 Levels 1&amp;2'!C10,0)&gt;'Table 4 Level 3'!AC7,AC7,ROUND(AB7*'Table 3 Levels 1&amp;2'!C10,0))</f>
        <v>0</v>
      </c>
      <c r="AE7" s="308">
        <f t="shared" si="4"/>
        <v>539197</v>
      </c>
    </row>
    <row r="8" spans="1:31" ht="12.75">
      <c r="A8" s="660">
        <v>3</v>
      </c>
      <c r="B8" s="660" t="s">
        <v>144</v>
      </c>
      <c r="C8" s="23">
        <f>'Table 3 Levels 1&amp;2'!AN11</f>
        <v>41667488</v>
      </c>
      <c r="D8" s="23">
        <f>ROUND(C8/'Table 3 Levels 1&amp;2'!C11,2)</f>
        <v>2785.45</v>
      </c>
      <c r="E8" s="684">
        <f t="shared" si="5"/>
        <v>55</v>
      </c>
      <c r="F8" s="23">
        <v>38574178.0761</v>
      </c>
      <c r="G8" s="685">
        <f t="shared" si="6"/>
        <v>145800</v>
      </c>
      <c r="H8" s="23">
        <f t="shared" si="7"/>
        <v>38428378.0761</v>
      </c>
      <c r="I8" s="23">
        <f t="shared" si="0"/>
        <v>3239109.9239000008</v>
      </c>
      <c r="J8" s="22">
        <f t="shared" si="8"/>
        <v>3239109.9239000008</v>
      </c>
      <c r="K8" s="22">
        <f>ROUND(J8/'Table 8 Membership'!W11,0)</f>
        <v>218</v>
      </c>
      <c r="L8" s="22">
        <f t="shared" si="9"/>
        <v>0</v>
      </c>
      <c r="M8" s="134">
        <f t="shared" si="10"/>
        <v>0</v>
      </c>
      <c r="N8" s="22">
        <v>387084.928648034</v>
      </c>
      <c r="O8" s="22">
        <f>ROUND(D8*'Table 8 Membership'!Y11*-1,0)</f>
        <v>-325898</v>
      </c>
      <c r="P8" s="310">
        <f t="shared" si="1"/>
        <v>3300296.852548035</v>
      </c>
      <c r="Q8" s="686">
        <v>1241.6114285886279</v>
      </c>
      <c r="R8" s="324">
        <f t="shared" si="11"/>
        <v>2350.2</v>
      </c>
      <c r="S8" s="22">
        <f t="shared" si="2"/>
        <v>0</v>
      </c>
      <c r="T8" s="22">
        <f>IF(S8&gt;0,'Table 3 Levels 1&amp;2'!C11,0)</f>
        <v>0</v>
      </c>
      <c r="U8" s="134">
        <f>ROUND(S8/'Table 3 Levels 1&amp;2'!C11,0)</f>
        <v>0</v>
      </c>
      <c r="V8" s="134">
        <f t="shared" si="12"/>
        <v>0</v>
      </c>
      <c r="W8" s="22">
        <f t="shared" si="3"/>
        <v>-407517</v>
      </c>
      <c r="X8" s="687">
        <v>9</v>
      </c>
      <c r="Y8" s="687">
        <f>'[2]Sheet1'!C6</f>
        <v>3</v>
      </c>
      <c r="Z8" s="134">
        <f t="shared" si="13"/>
        <v>-6</v>
      </c>
      <c r="AA8" s="22">
        <f>ROUND($AA$4*Y8,0)+3</f>
        <v>46305</v>
      </c>
      <c r="AB8" s="308">
        <v>0</v>
      </c>
      <c r="AC8" s="308">
        <v>0</v>
      </c>
      <c r="AD8" s="308">
        <f>IF(ROUND(AB8*'Table 3 Levels 1&amp;2'!C11,0)&gt;'Table 4 Level 3'!AC8,AC8,ROUND(AB8*'Table 3 Levels 1&amp;2'!C11,0))</f>
        <v>0</v>
      </c>
      <c r="AE8" s="308">
        <f t="shared" si="4"/>
        <v>-361212</v>
      </c>
    </row>
    <row r="9" spans="1:31" ht="12.75">
      <c r="A9" s="660">
        <v>4</v>
      </c>
      <c r="B9" s="660" t="s">
        <v>145</v>
      </c>
      <c r="C9" s="23">
        <f>'Table 3 Levels 1&amp;2'!AN12</f>
        <v>18802558</v>
      </c>
      <c r="D9" s="23">
        <f>ROUND(C9/'Table 3 Levels 1&amp;2'!C12,2)</f>
        <v>4263.62</v>
      </c>
      <c r="E9" s="684">
        <f t="shared" si="5"/>
        <v>7</v>
      </c>
      <c r="F9" s="23">
        <v>18193930.6883</v>
      </c>
      <c r="G9" s="685">
        <f t="shared" si="6"/>
        <v>48600</v>
      </c>
      <c r="H9" s="23">
        <f t="shared" si="7"/>
        <v>18145330.6883</v>
      </c>
      <c r="I9" s="23">
        <f t="shared" si="0"/>
        <v>657227.3117000014</v>
      </c>
      <c r="J9" s="22">
        <f t="shared" si="8"/>
        <v>657227.3117000014</v>
      </c>
      <c r="K9" s="22">
        <f>ROUND(J9/'Table 8 Membership'!W12,0)</f>
        <v>149</v>
      </c>
      <c r="L9" s="22">
        <f t="shared" si="9"/>
        <v>0</v>
      </c>
      <c r="M9" s="134">
        <f t="shared" si="10"/>
        <v>0</v>
      </c>
      <c r="N9" s="22">
        <v>182581.01758473078</v>
      </c>
      <c r="O9" s="22">
        <f>ROUND(D9*'Table 8 Membership'!Y12*-1,0)</f>
        <v>-4264</v>
      </c>
      <c r="P9" s="310">
        <f t="shared" si="1"/>
        <v>835544.3292847321</v>
      </c>
      <c r="Q9" s="686">
        <v>393.145714461803</v>
      </c>
      <c r="R9" s="324">
        <f t="shared" si="11"/>
        <v>1879.11</v>
      </c>
      <c r="S9" s="22">
        <f t="shared" si="2"/>
        <v>80432</v>
      </c>
      <c r="T9" s="22">
        <f>IF(S9&gt;0,'Table 3 Levels 1&amp;2'!C12,0)</f>
        <v>4410</v>
      </c>
      <c r="U9" s="134">
        <f>ROUND(S9/'Table 3 Levels 1&amp;2'!C12,0)</f>
        <v>18</v>
      </c>
      <c r="V9" s="134">
        <f t="shared" si="12"/>
        <v>1</v>
      </c>
      <c r="W9" s="22">
        <f t="shared" si="3"/>
        <v>0</v>
      </c>
      <c r="X9" s="687">
        <v>3</v>
      </c>
      <c r="Y9" s="687">
        <f>'[2]Sheet1'!C7</f>
        <v>5</v>
      </c>
      <c r="Z9" s="134">
        <f t="shared" si="13"/>
        <v>2</v>
      </c>
      <c r="AA9" s="22">
        <f t="shared" si="14"/>
        <v>77170</v>
      </c>
      <c r="AB9" s="308">
        <v>0</v>
      </c>
      <c r="AC9" s="308">
        <v>0</v>
      </c>
      <c r="AD9" s="308">
        <f>IF(ROUND(AB9*'Table 3 Levels 1&amp;2'!C12,0)&gt;'Table 4 Level 3'!AC9,AC9,ROUND(AB9*'Table 3 Levels 1&amp;2'!C12,0))</f>
        <v>0</v>
      </c>
      <c r="AE9" s="308">
        <f t="shared" si="4"/>
        <v>157602</v>
      </c>
    </row>
    <row r="10" spans="1:31" ht="12.75">
      <c r="A10" s="661">
        <v>5</v>
      </c>
      <c r="B10" s="661" t="s">
        <v>146</v>
      </c>
      <c r="C10" s="24">
        <f>'Table 3 Levels 1&amp;2'!AN13</f>
        <v>24087225</v>
      </c>
      <c r="D10" s="24">
        <f>ROUND(C10/'Table 3 Levels 1&amp;2'!C13,2)</f>
        <v>3636.36</v>
      </c>
      <c r="E10" s="688">
        <f t="shared" si="5"/>
        <v>35</v>
      </c>
      <c r="F10" s="24">
        <v>24120649.6419</v>
      </c>
      <c r="G10" s="689">
        <f t="shared" si="6"/>
        <v>145800</v>
      </c>
      <c r="H10" s="434">
        <f t="shared" si="7"/>
        <v>23974849.6419</v>
      </c>
      <c r="I10" s="24">
        <f t="shared" si="0"/>
        <v>112375.35810000077</v>
      </c>
      <c r="J10" s="369">
        <f t="shared" si="8"/>
        <v>112375.35810000077</v>
      </c>
      <c r="K10" s="369">
        <f>ROUND(J10/'Table 8 Membership'!W13,0)</f>
        <v>16</v>
      </c>
      <c r="L10" s="369">
        <f t="shared" si="9"/>
        <v>0</v>
      </c>
      <c r="M10" s="309">
        <f t="shared" si="10"/>
        <v>0</v>
      </c>
      <c r="N10" s="369">
        <v>242053.49837736582</v>
      </c>
      <c r="O10" s="369">
        <f>ROUND(D10*'Table 8 Membership'!Y13*-1,0)</f>
        <v>0</v>
      </c>
      <c r="P10" s="690">
        <f t="shared" si="1"/>
        <v>354428.8564773666</v>
      </c>
      <c r="Q10" s="691">
        <v>504.519999727607</v>
      </c>
      <c r="R10" s="692">
        <f t="shared" si="11"/>
        <v>621.14</v>
      </c>
      <c r="S10" s="369">
        <f t="shared" si="2"/>
        <v>821031</v>
      </c>
      <c r="T10" s="369">
        <f>IF(S10&gt;0,'Table 3 Levels 1&amp;2'!C13,0)</f>
        <v>6624</v>
      </c>
      <c r="U10" s="309">
        <f>ROUND(S10/'Table 3 Levels 1&amp;2'!C13,0)</f>
        <v>124</v>
      </c>
      <c r="V10" s="309">
        <f t="shared" si="12"/>
        <v>1</v>
      </c>
      <c r="W10" s="369">
        <f t="shared" si="3"/>
        <v>0</v>
      </c>
      <c r="X10" s="693">
        <v>9</v>
      </c>
      <c r="Y10" s="694">
        <f>'[2]Sheet1'!C8</f>
        <v>0</v>
      </c>
      <c r="Z10" s="309">
        <f t="shared" si="13"/>
        <v>-9</v>
      </c>
      <c r="AA10" s="369">
        <f t="shared" si="14"/>
        <v>0</v>
      </c>
      <c r="AB10" s="695">
        <v>0</v>
      </c>
      <c r="AC10" s="695">
        <v>0</v>
      </c>
      <c r="AD10" s="695">
        <f>IF(ROUND(AB10*'Table 3 Levels 1&amp;2'!C13,0)&gt;'Table 4 Level 3'!AC10,AC10,ROUND(AB10*'Table 3 Levels 1&amp;2'!C13,0))</f>
        <v>0</v>
      </c>
      <c r="AE10" s="695">
        <f t="shared" si="4"/>
        <v>821031</v>
      </c>
    </row>
    <row r="11" spans="1:31" ht="12.75">
      <c r="A11" s="660">
        <v>6</v>
      </c>
      <c r="B11" s="660" t="s">
        <v>147</v>
      </c>
      <c r="C11" s="23">
        <f>'Table 3 Levels 1&amp;2'!AN14</f>
        <v>21603598</v>
      </c>
      <c r="D11" s="23">
        <f>ROUND(C11/'Table 3 Levels 1&amp;2'!C14,2)</f>
        <v>3595.21</v>
      </c>
      <c r="E11" s="684">
        <f t="shared" si="5"/>
        <v>37</v>
      </c>
      <c r="F11" s="23">
        <v>20876621.7916</v>
      </c>
      <c r="G11" s="685">
        <f t="shared" si="6"/>
        <v>0</v>
      </c>
      <c r="H11" s="23">
        <f t="shared" si="7"/>
        <v>20876621.7916</v>
      </c>
      <c r="I11" s="23">
        <f t="shared" si="0"/>
        <v>726976.2083999999</v>
      </c>
      <c r="J11" s="22">
        <f t="shared" si="8"/>
        <v>726976.2083999999</v>
      </c>
      <c r="K11" s="22">
        <f>ROUND(J11/'Table 8 Membership'!W14,0)</f>
        <v>120</v>
      </c>
      <c r="L11" s="22">
        <f t="shared" si="9"/>
        <v>0</v>
      </c>
      <c r="M11" s="134">
        <f t="shared" si="10"/>
        <v>0</v>
      </c>
      <c r="N11" s="22">
        <v>209501.11807736126</v>
      </c>
      <c r="O11" s="22">
        <f>ROUND(D11*'Table 8 Membership'!Y14*-1,0)</f>
        <v>0</v>
      </c>
      <c r="P11" s="310">
        <f t="shared" si="1"/>
        <v>936477.3264773611</v>
      </c>
      <c r="Q11" s="686">
        <v>493.208571642637</v>
      </c>
      <c r="R11" s="324">
        <f t="shared" si="11"/>
        <v>1678.82</v>
      </c>
      <c r="S11" s="22">
        <f t="shared" si="2"/>
        <v>212629</v>
      </c>
      <c r="T11" s="22">
        <f>IF(S11&gt;0,'Table 3 Levels 1&amp;2'!C14,0)</f>
        <v>6009</v>
      </c>
      <c r="U11" s="134">
        <f>ROUND(S11/'Table 3 Levels 1&amp;2'!C14,0)</f>
        <v>35</v>
      </c>
      <c r="V11" s="134">
        <f t="shared" si="12"/>
        <v>1</v>
      </c>
      <c r="W11" s="22">
        <f t="shared" si="3"/>
        <v>0</v>
      </c>
      <c r="X11" s="687">
        <v>0</v>
      </c>
      <c r="Y11" s="687">
        <f>'[2]Sheet1'!C9</f>
        <v>0</v>
      </c>
      <c r="Z11" s="134">
        <f t="shared" si="13"/>
        <v>0</v>
      </c>
      <c r="AA11" s="22">
        <f t="shared" si="14"/>
        <v>0</v>
      </c>
      <c r="AB11" s="308">
        <v>0</v>
      </c>
      <c r="AC11" s="308">
        <v>0</v>
      </c>
      <c r="AD11" s="308">
        <f>IF(ROUND(AB11*'Table 3 Levels 1&amp;2'!C14,0)&gt;'Table 4 Level 3'!AC11,AC11,ROUND(AB11*'Table 3 Levels 1&amp;2'!C14,0))</f>
        <v>0</v>
      </c>
      <c r="AE11" s="308">
        <f t="shared" si="4"/>
        <v>212629</v>
      </c>
    </row>
    <row r="12" spans="1:31" ht="12.75">
      <c r="A12" s="660">
        <v>7</v>
      </c>
      <c r="B12" s="660" t="s">
        <v>148</v>
      </c>
      <c r="C12" s="23">
        <f>'Table 3 Levels 1&amp;2'!AN15</f>
        <v>8138809</v>
      </c>
      <c r="D12" s="23">
        <f>ROUND(C12/'Table 3 Levels 1&amp;2'!C15,2)</f>
        <v>3265.97</v>
      </c>
      <c r="E12" s="684">
        <f t="shared" si="5"/>
        <v>49</v>
      </c>
      <c r="F12" s="23">
        <v>7835394.3562</v>
      </c>
      <c r="G12" s="685">
        <f t="shared" si="6"/>
        <v>64800</v>
      </c>
      <c r="H12" s="23">
        <f t="shared" si="7"/>
        <v>7770594.3562</v>
      </c>
      <c r="I12" s="23">
        <f t="shared" si="0"/>
        <v>368214.6437999997</v>
      </c>
      <c r="J12" s="22">
        <f t="shared" si="8"/>
        <v>368214.6437999997</v>
      </c>
      <c r="K12" s="22">
        <f>ROUND(J12/'Table 8 Membership'!W15,0)</f>
        <v>146</v>
      </c>
      <c r="L12" s="22">
        <f t="shared" si="9"/>
        <v>0</v>
      </c>
      <c r="M12" s="134">
        <f t="shared" si="10"/>
        <v>0</v>
      </c>
      <c r="N12" s="22">
        <v>78632.39420127991</v>
      </c>
      <c r="O12" s="22">
        <f>ROUND(D12*'Table 8 Membership'!Y15*-1,0)</f>
        <v>0</v>
      </c>
      <c r="P12" s="310">
        <f t="shared" si="1"/>
        <v>446847.03800127964</v>
      </c>
      <c r="Q12" s="686">
        <v>228.5</v>
      </c>
      <c r="R12" s="324">
        <f t="shared" si="11"/>
        <v>1729.06</v>
      </c>
      <c r="S12" s="22">
        <f t="shared" si="2"/>
        <v>85526</v>
      </c>
      <c r="T12" s="22">
        <f>IF(S12&gt;0,'Table 3 Levels 1&amp;2'!C15,0)</f>
        <v>2492</v>
      </c>
      <c r="U12" s="134">
        <f>ROUND(S12/'Table 3 Levels 1&amp;2'!C15,0)</f>
        <v>34</v>
      </c>
      <c r="V12" s="134">
        <f t="shared" si="12"/>
        <v>1</v>
      </c>
      <c r="W12" s="22">
        <f t="shared" si="3"/>
        <v>0</v>
      </c>
      <c r="X12" s="687">
        <v>4</v>
      </c>
      <c r="Y12" s="687">
        <f>'[2]Sheet1'!C10</f>
        <v>0</v>
      </c>
      <c r="Z12" s="134">
        <f t="shared" si="13"/>
        <v>-4</v>
      </c>
      <c r="AA12" s="22">
        <f t="shared" si="14"/>
        <v>0</v>
      </c>
      <c r="AB12" s="308">
        <v>0</v>
      </c>
      <c r="AC12" s="308">
        <v>0</v>
      </c>
      <c r="AD12" s="308">
        <f>IF(ROUND(AB12*'Table 3 Levels 1&amp;2'!C15,0)&gt;'Table 4 Level 3'!AC12,AC12,ROUND(AB12*'Table 3 Levels 1&amp;2'!C15,0))</f>
        <v>0</v>
      </c>
      <c r="AE12" s="308">
        <f t="shared" si="4"/>
        <v>85526</v>
      </c>
    </row>
    <row r="13" spans="1:31" ht="12.75">
      <c r="A13" s="660">
        <v>8</v>
      </c>
      <c r="B13" s="660" t="s">
        <v>149</v>
      </c>
      <c r="C13" s="23">
        <f>'Table 3 Levels 1&amp;2'!AN16</f>
        <v>56506444</v>
      </c>
      <c r="D13" s="23">
        <f>ROUND(C13/'Table 3 Levels 1&amp;2'!C16,2)</f>
        <v>3054.9</v>
      </c>
      <c r="E13" s="684">
        <f t="shared" si="5"/>
        <v>52</v>
      </c>
      <c r="F13" s="23">
        <v>56782498.2328</v>
      </c>
      <c r="G13" s="685">
        <f t="shared" si="6"/>
        <v>48600</v>
      </c>
      <c r="H13" s="23">
        <f t="shared" si="7"/>
        <v>56733898.2328</v>
      </c>
      <c r="I13" s="23">
        <f t="shared" si="0"/>
        <v>-227454.23279999942</v>
      </c>
      <c r="J13" s="22">
        <f t="shared" si="8"/>
        <v>0</v>
      </c>
      <c r="K13" s="22">
        <f>ROUND(J13/'Table 8 Membership'!W16,0)</f>
        <v>0</v>
      </c>
      <c r="L13" s="22">
        <f t="shared" si="9"/>
        <v>-227454.23279999942</v>
      </c>
      <c r="M13" s="134">
        <f t="shared" si="10"/>
        <v>1</v>
      </c>
      <c r="N13" s="22">
        <v>569807.5421379878</v>
      </c>
      <c r="O13" s="22">
        <f>ROUND(D13*'Table 8 Membership'!Y16*-1,0)</f>
        <v>0</v>
      </c>
      <c r="P13" s="310">
        <f t="shared" si="1"/>
        <v>569807.5421379878</v>
      </c>
      <c r="Q13" s="686">
        <v>1395.2314286232</v>
      </c>
      <c r="R13" s="324">
        <f t="shared" si="11"/>
        <v>361.09</v>
      </c>
      <c r="S13" s="22">
        <f t="shared" si="2"/>
        <v>2680891</v>
      </c>
      <c r="T13" s="22">
        <f>IF(S13&gt;0,'Table 3 Levels 1&amp;2'!C16,0)</f>
        <v>18497</v>
      </c>
      <c r="U13" s="134">
        <f>ROUND(S13/'Table 3 Levels 1&amp;2'!C16,0)</f>
        <v>145</v>
      </c>
      <c r="V13" s="134">
        <f t="shared" si="12"/>
        <v>1</v>
      </c>
      <c r="W13" s="22">
        <f t="shared" si="3"/>
        <v>0</v>
      </c>
      <c r="X13" s="687">
        <v>3</v>
      </c>
      <c r="Y13" s="687">
        <f>'[2]Sheet1'!C11</f>
        <v>2</v>
      </c>
      <c r="Z13" s="134">
        <f t="shared" si="13"/>
        <v>-1</v>
      </c>
      <c r="AA13" s="22">
        <f>ROUND($AA$4*Y13,0)+2</f>
        <v>30870</v>
      </c>
      <c r="AB13" s="308">
        <v>0</v>
      </c>
      <c r="AC13" s="308">
        <v>0</v>
      </c>
      <c r="AD13" s="308">
        <f>IF(ROUND(AB13*'Table 3 Levels 1&amp;2'!C16,0)&gt;'Table 4 Level 3'!AC13,AC13,ROUND(AB13*'Table 3 Levels 1&amp;2'!C16,0))</f>
        <v>0</v>
      </c>
      <c r="AE13" s="308">
        <f t="shared" si="4"/>
        <v>2711761</v>
      </c>
    </row>
    <row r="14" spans="1:31" ht="12.75">
      <c r="A14" s="660">
        <v>9</v>
      </c>
      <c r="B14" s="660" t="s">
        <v>150</v>
      </c>
      <c r="C14" s="23">
        <f>'Table 3 Levels 1&amp;2'!AN17</f>
        <v>154238175</v>
      </c>
      <c r="D14" s="23">
        <f>ROUND(C14/'Table 3 Levels 1&amp;2'!C17,2)</f>
        <v>3509.16</v>
      </c>
      <c r="E14" s="684">
        <f t="shared" si="5"/>
        <v>40</v>
      </c>
      <c r="F14" s="23">
        <v>149955393.0525</v>
      </c>
      <c r="G14" s="685">
        <f t="shared" si="6"/>
        <v>145800</v>
      </c>
      <c r="H14" s="23">
        <f t="shared" si="7"/>
        <v>149809593.0525</v>
      </c>
      <c r="I14" s="23">
        <f t="shared" si="0"/>
        <v>4428581.94749999</v>
      </c>
      <c r="J14" s="22">
        <f t="shared" si="8"/>
        <v>4428581.94749999</v>
      </c>
      <c r="K14" s="22">
        <f>ROUND(J14/'Table 8 Membership'!W17,0)</f>
        <v>101</v>
      </c>
      <c r="L14" s="22">
        <f t="shared" si="9"/>
        <v>0</v>
      </c>
      <c r="M14" s="134">
        <f t="shared" si="10"/>
        <v>0</v>
      </c>
      <c r="N14" s="22">
        <v>1504793.2658863077</v>
      </c>
      <c r="O14" s="22">
        <f>ROUND(D14*'Table 8 Membership'!Y17*-1,0)</f>
        <v>0</v>
      </c>
      <c r="P14" s="310">
        <f t="shared" si="1"/>
        <v>5933375.213386298</v>
      </c>
      <c r="Q14" s="686">
        <v>3676.541666775942</v>
      </c>
      <c r="R14" s="324">
        <f t="shared" si="11"/>
        <v>1426.92</v>
      </c>
      <c r="S14" s="22">
        <f t="shared" si="2"/>
        <v>2632453</v>
      </c>
      <c r="T14" s="22">
        <f>IF(S14&gt;0,'Table 3 Levels 1&amp;2'!C17,0)</f>
        <v>43953</v>
      </c>
      <c r="U14" s="134">
        <f>ROUND(S14/'Table 3 Levels 1&amp;2'!C17,0)</f>
        <v>60</v>
      </c>
      <c r="V14" s="134">
        <f t="shared" si="12"/>
        <v>1</v>
      </c>
      <c r="W14" s="22">
        <f t="shared" si="3"/>
        <v>0</v>
      </c>
      <c r="X14" s="687">
        <v>9</v>
      </c>
      <c r="Y14" s="687">
        <f>'[2]Sheet1'!C12</f>
        <v>11</v>
      </c>
      <c r="Z14" s="134">
        <f t="shared" si="13"/>
        <v>2</v>
      </c>
      <c r="AA14" s="22">
        <f>ROUND($AA$4*Y14,0)+1</f>
        <v>169775</v>
      </c>
      <c r="AB14" s="308">
        <v>0</v>
      </c>
      <c r="AC14" s="308">
        <v>0</v>
      </c>
      <c r="AD14" s="308">
        <f>IF(ROUND(AB14*'Table 3 Levels 1&amp;2'!C17,0)&gt;'Table 4 Level 3'!AC14,AC14,ROUND(AB14*'Table 3 Levels 1&amp;2'!C17,0))</f>
        <v>0</v>
      </c>
      <c r="AE14" s="308">
        <f t="shared" si="4"/>
        <v>2802228</v>
      </c>
    </row>
    <row r="15" spans="1:31" ht="12.75">
      <c r="A15" s="661">
        <v>10</v>
      </c>
      <c r="B15" s="661" t="s">
        <v>151</v>
      </c>
      <c r="C15" s="24">
        <f>'Table 3 Levels 1&amp;2'!AN18</f>
        <v>89448262</v>
      </c>
      <c r="D15" s="24">
        <f>ROUND(C15/'Table 3 Levels 1&amp;2'!C18,2)</f>
        <v>2845.05</v>
      </c>
      <c r="E15" s="688">
        <f t="shared" si="5"/>
        <v>54</v>
      </c>
      <c r="F15" s="24">
        <v>85308177.3026</v>
      </c>
      <c r="G15" s="689">
        <f t="shared" si="6"/>
        <v>291600</v>
      </c>
      <c r="H15" s="434">
        <f t="shared" si="7"/>
        <v>85016577.3026</v>
      </c>
      <c r="I15" s="24">
        <f t="shared" si="0"/>
        <v>4431684.697400004</v>
      </c>
      <c r="J15" s="369">
        <f t="shared" si="8"/>
        <v>4431684.697400004</v>
      </c>
      <c r="K15" s="369">
        <f>ROUND(J15/'Table 8 Membership'!W18,0)</f>
        <v>138</v>
      </c>
      <c r="L15" s="369">
        <f t="shared" si="9"/>
        <v>0</v>
      </c>
      <c r="M15" s="309">
        <f t="shared" si="10"/>
        <v>0</v>
      </c>
      <c r="N15" s="369">
        <v>856052.5037589971</v>
      </c>
      <c r="O15" s="369">
        <f>ROUND(D15*'Table 8 Membership'!Y18*-1,0)</f>
        <v>0</v>
      </c>
      <c r="P15" s="690">
        <f t="shared" si="1"/>
        <v>5287737.201159</v>
      </c>
      <c r="Q15" s="691">
        <v>2598.212381035092</v>
      </c>
      <c r="R15" s="692">
        <f t="shared" si="11"/>
        <v>1799.42</v>
      </c>
      <c r="S15" s="369">
        <f t="shared" si="2"/>
        <v>765735</v>
      </c>
      <c r="T15" s="369">
        <f>IF(S15&gt;0,'Table 3 Levels 1&amp;2'!C18,0)</f>
        <v>31440</v>
      </c>
      <c r="U15" s="309">
        <f>ROUND(S15/'Table 3 Levels 1&amp;2'!C18,0)</f>
        <v>24</v>
      </c>
      <c r="V15" s="309">
        <f t="shared" si="12"/>
        <v>1</v>
      </c>
      <c r="W15" s="369">
        <f t="shared" si="3"/>
        <v>0</v>
      </c>
      <c r="X15" s="693">
        <v>18</v>
      </c>
      <c r="Y15" s="694">
        <f>'[2]Sheet1'!C13</f>
        <v>28</v>
      </c>
      <c r="Z15" s="309">
        <f t="shared" si="13"/>
        <v>10</v>
      </c>
      <c r="AA15" s="369">
        <f>ROUND($AA$4*Y15,0)+3</f>
        <v>432155</v>
      </c>
      <c r="AB15" s="695">
        <v>0</v>
      </c>
      <c r="AC15" s="695">
        <v>0</v>
      </c>
      <c r="AD15" s="695">
        <f>IF(ROUND(AB15*'Table 3 Levels 1&amp;2'!C18,0)&gt;'Table 4 Level 3'!AC15,AC15,ROUND(AB15*'Table 3 Levels 1&amp;2'!C18,0))</f>
        <v>0</v>
      </c>
      <c r="AE15" s="695">
        <f t="shared" si="4"/>
        <v>1197890</v>
      </c>
    </row>
    <row r="16" spans="1:31" ht="12.75">
      <c r="A16" s="660">
        <v>11</v>
      </c>
      <c r="B16" s="660" t="s">
        <v>152</v>
      </c>
      <c r="C16" s="23">
        <f>'Table 3 Levels 1&amp;2'!AN19</f>
        <v>7699980</v>
      </c>
      <c r="D16" s="23">
        <f>ROUND(C16/'Table 3 Levels 1&amp;2'!C19,2)</f>
        <v>4212.24</v>
      </c>
      <c r="E16" s="684">
        <f t="shared" si="5"/>
        <v>10</v>
      </c>
      <c r="F16" s="23">
        <v>7347191.6395</v>
      </c>
      <c r="G16" s="685">
        <f t="shared" si="6"/>
        <v>0</v>
      </c>
      <c r="H16" s="23">
        <f t="shared" si="7"/>
        <v>7347191.6395</v>
      </c>
      <c r="I16" s="23">
        <f t="shared" si="0"/>
        <v>352788.3605000004</v>
      </c>
      <c r="J16" s="22">
        <f t="shared" si="8"/>
        <v>352788.3605000004</v>
      </c>
      <c r="K16" s="22">
        <f>ROUND(J16/'Table 8 Membership'!W19,0)</f>
        <v>196</v>
      </c>
      <c r="L16" s="22">
        <f t="shared" si="9"/>
        <v>0</v>
      </c>
      <c r="M16" s="134">
        <f t="shared" si="10"/>
        <v>0</v>
      </c>
      <c r="N16" s="22">
        <v>73730.91931976569</v>
      </c>
      <c r="O16" s="22">
        <f>ROUND(D16*'Table 8 Membership'!Y19*-1,0)</f>
        <v>-109518</v>
      </c>
      <c r="P16" s="310">
        <f t="shared" si="1"/>
        <v>317001.2798197661</v>
      </c>
      <c r="Q16" s="686">
        <v>163.5</v>
      </c>
      <c r="R16" s="324">
        <f t="shared" si="11"/>
        <v>1714.28</v>
      </c>
      <c r="S16" s="22">
        <f t="shared" si="2"/>
        <v>63930</v>
      </c>
      <c r="T16" s="22">
        <f>IF(S16&gt;0,'Table 3 Levels 1&amp;2'!C19,0)</f>
        <v>1828</v>
      </c>
      <c r="U16" s="134">
        <f>ROUND(S16/'Table 3 Levels 1&amp;2'!C19,0)</f>
        <v>35</v>
      </c>
      <c r="V16" s="134">
        <f t="shared" si="12"/>
        <v>1</v>
      </c>
      <c r="W16" s="22">
        <f t="shared" si="3"/>
        <v>0</v>
      </c>
      <c r="X16" s="687">
        <v>0</v>
      </c>
      <c r="Y16" s="687">
        <f>'[2]Sheet1'!C14</f>
        <v>0</v>
      </c>
      <c r="Z16" s="134">
        <f t="shared" si="13"/>
        <v>0</v>
      </c>
      <c r="AA16" s="22">
        <f t="shared" si="14"/>
        <v>0</v>
      </c>
      <c r="AB16" s="308">
        <v>0</v>
      </c>
      <c r="AC16" s="308">
        <v>0</v>
      </c>
      <c r="AD16" s="308">
        <f>IF(ROUND(AB16*'Table 3 Levels 1&amp;2'!C19,0)&gt;'Table 4 Level 3'!AC16,AC16,ROUND(AB16*'Table 3 Levels 1&amp;2'!C19,0))</f>
        <v>0</v>
      </c>
      <c r="AE16" s="308">
        <f t="shared" si="4"/>
        <v>63930</v>
      </c>
    </row>
    <row r="17" spans="1:31" ht="12.75">
      <c r="A17" s="660">
        <v>12</v>
      </c>
      <c r="B17" s="660" t="s">
        <v>153</v>
      </c>
      <c r="C17" s="23">
        <f>'Table 3 Levels 1&amp;2'!AN20</f>
        <v>5864076</v>
      </c>
      <c r="D17" s="23">
        <f>ROUND(C17/'Table 3 Levels 1&amp;2'!C20,2)</f>
        <v>3110.92</v>
      </c>
      <c r="E17" s="684">
        <f t="shared" si="5"/>
        <v>50</v>
      </c>
      <c r="F17" s="23">
        <v>5964491.761</v>
      </c>
      <c r="G17" s="685">
        <f t="shared" si="6"/>
        <v>32400</v>
      </c>
      <c r="H17" s="23">
        <f t="shared" si="7"/>
        <v>5932091.761</v>
      </c>
      <c r="I17" s="23">
        <f t="shared" si="0"/>
        <v>-68015.76099999994</v>
      </c>
      <c r="J17" s="22">
        <f t="shared" si="8"/>
        <v>0</v>
      </c>
      <c r="K17" s="22">
        <f>ROUND(J17/'Table 8 Membership'!W20,0)</f>
        <v>0</v>
      </c>
      <c r="L17" s="22">
        <f t="shared" si="9"/>
        <v>-68015.76099999994</v>
      </c>
      <c r="M17" s="134">
        <f t="shared" si="10"/>
        <v>1</v>
      </c>
      <c r="N17" s="22">
        <v>59860.56786472427</v>
      </c>
      <c r="O17" s="22">
        <f>ROUND(D17*'Table 8 Membership'!Y20*-1,0)</f>
        <v>0</v>
      </c>
      <c r="P17" s="310">
        <f t="shared" si="1"/>
        <v>59860.56786472427</v>
      </c>
      <c r="Q17" s="686">
        <v>183</v>
      </c>
      <c r="R17" s="324">
        <f t="shared" si="11"/>
        <v>289.22</v>
      </c>
      <c r="S17" s="22">
        <f t="shared" si="2"/>
        <v>366504</v>
      </c>
      <c r="T17" s="22">
        <f>IF(S17&gt;0,'Table 3 Levels 1&amp;2'!C20,0)</f>
        <v>1885</v>
      </c>
      <c r="U17" s="134">
        <f>ROUND(S17/'Table 3 Levels 1&amp;2'!C20,0)</f>
        <v>194</v>
      </c>
      <c r="V17" s="134">
        <f t="shared" si="12"/>
        <v>1</v>
      </c>
      <c r="W17" s="22">
        <f t="shared" si="3"/>
        <v>0</v>
      </c>
      <c r="X17" s="687">
        <v>2</v>
      </c>
      <c r="Y17" s="687">
        <f>'[2]Sheet1'!C15</f>
        <v>2</v>
      </c>
      <c r="Z17" s="134">
        <f t="shared" si="13"/>
        <v>0</v>
      </c>
      <c r="AA17" s="22">
        <f>ROUND($AA$4*Y17,0)+2</f>
        <v>30870</v>
      </c>
      <c r="AB17" s="308">
        <v>0</v>
      </c>
      <c r="AC17" s="308">
        <v>0</v>
      </c>
      <c r="AD17" s="308">
        <f>IF(ROUND(AB17*'Table 3 Levels 1&amp;2'!C20,0)&gt;'Table 4 Level 3'!AC17,AC17,ROUND(AB17*'Table 3 Levels 1&amp;2'!C20,0))</f>
        <v>0</v>
      </c>
      <c r="AE17" s="308">
        <f t="shared" si="4"/>
        <v>397374</v>
      </c>
    </row>
    <row r="18" spans="1:31" ht="12.75">
      <c r="A18" s="660">
        <v>13</v>
      </c>
      <c r="B18" s="660" t="s">
        <v>154</v>
      </c>
      <c r="C18" s="23">
        <f>'Table 3 Levels 1&amp;2'!AN21</f>
        <v>7707603</v>
      </c>
      <c r="D18" s="23">
        <f>ROUND(C18/'Table 3 Levels 1&amp;2'!C21,2)</f>
        <v>4251.3</v>
      </c>
      <c r="E18" s="684">
        <f t="shared" si="5"/>
        <v>8</v>
      </c>
      <c r="F18" s="23">
        <v>7505008.1771</v>
      </c>
      <c r="G18" s="685">
        <f t="shared" si="6"/>
        <v>0</v>
      </c>
      <c r="H18" s="23">
        <f t="shared" si="7"/>
        <v>7505008.1771</v>
      </c>
      <c r="I18" s="23">
        <f t="shared" si="0"/>
        <v>202594.82290000003</v>
      </c>
      <c r="J18" s="22">
        <f t="shared" si="8"/>
        <v>202594.82290000003</v>
      </c>
      <c r="K18" s="22">
        <f>ROUND(J18/'Table 8 Membership'!W21,0)</f>
        <v>107</v>
      </c>
      <c r="L18" s="22">
        <f t="shared" si="9"/>
        <v>0</v>
      </c>
      <c r="M18" s="134">
        <f t="shared" si="10"/>
        <v>0</v>
      </c>
      <c r="N18" s="22">
        <v>75314.27029472291</v>
      </c>
      <c r="O18" s="22">
        <f>ROUND(D18*'Table 8 Membership'!Y21*-1,0)</f>
        <v>0</v>
      </c>
      <c r="P18" s="310">
        <f t="shared" si="1"/>
        <v>277909.09319472295</v>
      </c>
      <c r="Q18" s="686">
        <v>175.66666668653488</v>
      </c>
      <c r="R18" s="324">
        <f t="shared" si="11"/>
        <v>1398.78</v>
      </c>
      <c r="S18" s="22">
        <f t="shared" si="2"/>
        <v>131371</v>
      </c>
      <c r="T18" s="22">
        <f>IF(S18&gt;0,'Table 3 Levels 1&amp;2'!C21,0)</f>
        <v>1813</v>
      </c>
      <c r="U18" s="134">
        <f>ROUND(S18/'Table 3 Levels 1&amp;2'!C21,0)</f>
        <v>72</v>
      </c>
      <c r="V18" s="134">
        <f t="shared" si="12"/>
        <v>1</v>
      </c>
      <c r="W18" s="22">
        <f t="shared" si="3"/>
        <v>0</v>
      </c>
      <c r="X18" s="687">
        <v>0</v>
      </c>
      <c r="Y18" s="687">
        <f>'[2]Sheet1'!C16</f>
        <v>0</v>
      </c>
      <c r="Z18" s="134">
        <f t="shared" si="13"/>
        <v>0</v>
      </c>
      <c r="AA18" s="22">
        <f t="shared" si="14"/>
        <v>0</v>
      </c>
      <c r="AB18" s="308">
        <v>0</v>
      </c>
      <c r="AC18" s="308">
        <v>0</v>
      </c>
      <c r="AD18" s="308">
        <f>IF(ROUND(AB18*'Table 3 Levels 1&amp;2'!C21,0)&gt;'Table 4 Level 3'!AC18,AC18,ROUND(AB18*'Table 3 Levels 1&amp;2'!C21,0))</f>
        <v>0</v>
      </c>
      <c r="AE18" s="308">
        <f t="shared" si="4"/>
        <v>131371</v>
      </c>
    </row>
    <row r="19" spans="1:31" ht="12.75">
      <c r="A19" s="660">
        <v>14</v>
      </c>
      <c r="B19" s="660" t="s">
        <v>155</v>
      </c>
      <c r="C19" s="23">
        <f>'Table 3 Levels 1&amp;2'!AN22</f>
        <v>11041548</v>
      </c>
      <c r="D19" s="23">
        <f>ROUND(C19/'Table 3 Levels 1&amp;2'!C22,2)</f>
        <v>4071.37</v>
      </c>
      <c r="E19" s="684">
        <f t="shared" si="5"/>
        <v>17</v>
      </c>
      <c r="F19" s="23">
        <v>10861432.3107</v>
      </c>
      <c r="G19" s="685">
        <f t="shared" si="6"/>
        <v>0</v>
      </c>
      <c r="H19" s="23">
        <f t="shared" si="7"/>
        <v>10861432.3107</v>
      </c>
      <c r="I19" s="23">
        <f t="shared" si="0"/>
        <v>180115.68930000067</v>
      </c>
      <c r="J19" s="22">
        <f t="shared" si="8"/>
        <v>180115.68930000067</v>
      </c>
      <c r="K19" s="22">
        <f>ROUND(J19/'Table 8 Membership'!W22,0)</f>
        <v>65</v>
      </c>
      <c r="L19" s="22">
        <f t="shared" si="9"/>
        <v>0</v>
      </c>
      <c r="M19" s="134">
        <f t="shared" si="10"/>
        <v>0</v>
      </c>
      <c r="N19" s="22">
        <v>108998.12756902205</v>
      </c>
      <c r="O19" s="22">
        <f>ROUND(D19*'Table 8 Membership'!Y22*-1,0)</f>
        <v>0</v>
      </c>
      <c r="P19" s="310">
        <f t="shared" si="1"/>
        <v>289113.81686902273</v>
      </c>
      <c r="Q19" s="686">
        <v>254</v>
      </c>
      <c r="R19" s="324">
        <f t="shared" si="11"/>
        <v>1006.4</v>
      </c>
      <c r="S19" s="22">
        <f t="shared" si="2"/>
        <v>302672</v>
      </c>
      <c r="T19" s="22">
        <f>IF(S19&gt;0,'Table 3 Levels 1&amp;2'!C22,0)</f>
        <v>2712</v>
      </c>
      <c r="U19" s="134">
        <f>ROUND(S19/'Table 3 Levels 1&amp;2'!C22,0)</f>
        <v>112</v>
      </c>
      <c r="V19" s="134">
        <f t="shared" si="12"/>
        <v>1</v>
      </c>
      <c r="W19" s="22">
        <f t="shared" si="3"/>
        <v>0</v>
      </c>
      <c r="X19" s="687">
        <v>0</v>
      </c>
      <c r="Y19" s="687">
        <f>'[2]Sheet1'!C17</f>
        <v>0</v>
      </c>
      <c r="Z19" s="134">
        <f t="shared" si="13"/>
        <v>0</v>
      </c>
      <c r="AA19" s="22">
        <f t="shared" si="14"/>
        <v>0</v>
      </c>
      <c r="AB19" s="308">
        <v>0</v>
      </c>
      <c r="AC19" s="308">
        <v>0</v>
      </c>
      <c r="AD19" s="308">
        <f>IF(ROUND(AB19*'Table 3 Levels 1&amp;2'!C22,0)&gt;'Table 4 Level 3'!AC19,AC19,ROUND(AB19*'Table 3 Levels 1&amp;2'!C22,0))</f>
        <v>0</v>
      </c>
      <c r="AE19" s="308">
        <f t="shared" si="4"/>
        <v>302672</v>
      </c>
    </row>
    <row r="20" spans="1:31" ht="12.75">
      <c r="A20" s="661">
        <v>15</v>
      </c>
      <c r="B20" s="661" t="s">
        <v>156</v>
      </c>
      <c r="C20" s="24">
        <f>'Table 3 Levels 1&amp;2'!AN23</f>
        <v>15359636</v>
      </c>
      <c r="D20" s="24">
        <f>ROUND(C20/'Table 3 Levels 1&amp;2'!C23,2)</f>
        <v>4075.25</v>
      </c>
      <c r="E20" s="688">
        <f t="shared" si="5"/>
        <v>15</v>
      </c>
      <c r="F20" s="24">
        <v>13204021.3817</v>
      </c>
      <c r="G20" s="689">
        <f t="shared" si="6"/>
        <v>32400</v>
      </c>
      <c r="H20" s="434">
        <f t="shared" si="7"/>
        <v>13171621.3817</v>
      </c>
      <c r="I20" s="24">
        <f t="shared" si="0"/>
        <v>2188014.6183</v>
      </c>
      <c r="J20" s="369">
        <f t="shared" si="8"/>
        <v>2188014.6183</v>
      </c>
      <c r="K20" s="369">
        <f>ROUND(J20/'Table 8 Membership'!W23,0)</f>
        <v>573</v>
      </c>
      <c r="L20" s="369">
        <f t="shared" si="9"/>
        <v>0</v>
      </c>
      <c r="M20" s="309">
        <f t="shared" si="10"/>
        <v>0</v>
      </c>
      <c r="N20" s="369">
        <v>134074.62997920247</v>
      </c>
      <c r="O20" s="369">
        <f>ROUND(D20*'Table 8 Membership'!Y23*-1,0)</f>
        <v>0</v>
      </c>
      <c r="P20" s="690">
        <f t="shared" si="1"/>
        <v>2322089.2482792027</v>
      </c>
      <c r="Q20" s="691">
        <v>311.3815237581728</v>
      </c>
      <c r="R20" s="692">
        <f t="shared" si="11"/>
        <v>6593.61</v>
      </c>
      <c r="S20" s="369">
        <f t="shared" si="2"/>
        <v>0</v>
      </c>
      <c r="T20" s="369">
        <f>IF(S20&gt;0,'Table 3 Levels 1&amp;2'!C23,0)</f>
        <v>0</v>
      </c>
      <c r="U20" s="309">
        <f>ROUND(S20/'Table 3 Levels 1&amp;2'!C23,0)</f>
        <v>0</v>
      </c>
      <c r="V20" s="309">
        <f t="shared" si="12"/>
        <v>0</v>
      </c>
      <c r="W20" s="369">
        <f t="shared" si="3"/>
        <v>-1596613</v>
      </c>
      <c r="X20" s="693">
        <v>2</v>
      </c>
      <c r="Y20" s="694">
        <f>'[2]Sheet1'!C18</f>
        <v>2</v>
      </c>
      <c r="Z20" s="309">
        <f t="shared" si="13"/>
        <v>0</v>
      </c>
      <c r="AA20" s="369">
        <f>ROUND($AA$4*Y20,0)+2</f>
        <v>30870</v>
      </c>
      <c r="AB20" s="695">
        <v>61</v>
      </c>
      <c r="AC20" s="695">
        <v>233545</v>
      </c>
      <c r="AD20" s="695">
        <f>IF(ROUND(AB20*'Table 3 Levels 1&amp;2'!C23,0)&gt;'Table 4 Level 3'!AC20,AC20,ROUND(AB20*'Table 3 Levels 1&amp;2'!C23,0))</f>
        <v>229909</v>
      </c>
      <c r="AE20" s="695">
        <f t="shared" si="4"/>
        <v>-1335834</v>
      </c>
    </row>
    <row r="21" spans="1:31" ht="12.75">
      <c r="A21" s="660">
        <v>16</v>
      </c>
      <c r="B21" s="660" t="s">
        <v>157</v>
      </c>
      <c r="C21" s="23">
        <f>'Table 3 Levels 1&amp;2'!AN24</f>
        <v>18385263</v>
      </c>
      <c r="D21" s="23">
        <f>ROUND(C21/'Table 3 Levels 1&amp;2'!C24,2)</f>
        <v>3822.3</v>
      </c>
      <c r="E21" s="684">
        <f t="shared" si="5"/>
        <v>27</v>
      </c>
      <c r="F21" s="23">
        <v>17436893.2608</v>
      </c>
      <c r="G21" s="685">
        <f t="shared" si="6"/>
        <v>32400</v>
      </c>
      <c r="H21" s="23">
        <f t="shared" si="7"/>
        <v>17404493.2608</v>
      </c>
      <c r="I21" s="23">
        <f t="shared" si="0"/>
        <v>980769.7391999997</v>
      </c>
      <c r="J21" s="22">
        <f t="shared" si="8"/>
        <v>980769.7391999997</v>
      </c>
      <c r="K21" s="22">
        <f>ROUND(J21/'Table 8 Membership'!W24,0)</f>
        <v>196</v>
      </c>
      <c r="L21" s="22">
        <f t="shared" si="9"/>
        <v>0</v>
      </c>
      <c r="M21" s="134">
        <f t="shared" si="10"/>
        <v>0</v>
      </c>
      <c r="N21" s="22">
        <v>174986.20804538502</v>
      </c>
      <c r="O21" s="22">
        <f>ROUND(D21*'Table 8 Membership'!Y24*-1,0)</f>
        <v>0</v>
      </c>
      <c r="P21" s="310">
        <f t="shared" si="1"/>
        <v>1155755.9472453848</v>
      </c>
      <c r="Q21" s="686">
        <v>419.83333334326744</v>
      </c>
      <c r="R21" s="324">
        <f t="shared" si="11"/>
        <v>2434.03</v>
      </c>
      <c r="S21" s="22">
        <f t="shared" si="2"/>
        <v>0</v>
      </c>
      <c r="T21" s="22">
        <f>IF(S21&gt;0,'Table 3 Levels 1&amp;2'!C24,0)</f>
        <v>0</v>
      </c>
      <c r="U21" s="134">
        <f>ROUND(S21/'Table 3 Levels 1&amp;2'!C24,0)</f>
        <v>0</v>
      </c>
      <c r="V21" s="134">
        <f t="shared" si="12"/>
        <v>0</v>
      </c>
      <c r="W21" s="22">
        <f t="shared" si="3"/>
        <v>-177601</v>
      </c>
      <c r="X21" s="687">
        <v>2</v>
      </c>
      <c r="Y21" s="687">
        <f>'[2]Sheet1'!C19</f>
        <v>2</v>
      </c>
      <c r="Z21" s="134">
        <f t="shared" si="13"/>
        <v>0</v>
      </c>
      <c r="AA21" s="22">
        <f>ROUND($AA$4*Y21,0)+2</f>
        <v>30870</v>
      </c>
      <c r="AB21" s="308">
        <v>0</v>
      </c>
      <c r="AC21" s="308">
        <v>0</v>
      </c>
      <c r="AD21" s="308">
        <f>IF(ROUND(AB21*'Table 3 Levels 1&amp;2'!C24,0)&gt;'Table 4 Level 3'!AC21,AC21,ROUND(AB21*'Table 3 Levels 1&amp;2'!C24,0))</f>
        <v>0</v>
      </c>
      <c r="AE21" s="308">
        <f t="shared" si="4"/>
        <v>-146731</v>
      </c>
    </row>
    <row r="22" spans="1:31" ht="12.75">
      <c r="A22" s="660">
        <v>17</v>
      </c>
      <c r="B22" s="660" t="s">
        <v>158</v>
      </c>
      <c r="C22" s="23">
        <f>'Table 3 Levels 1&amp;2'!AN25</f>
        <v>106155184</v>
      </c>
      <c r="D22" s="23">
        <f>ROUND(C22/'Table 3 Levels 1&amp;2'!C25,2)</f>
        <v>2068.37</v>
      </c>
      <c r="E22" s="684">
        <f t="shared" si="5"/>
        <v>60</v>
      </c>
      <c r="F22" s="23">
        <v>106011718.5793</v>
      </c>
      <c r="G22" s="685">
        <f t="shared" si="6"/>
        <v>388800</v>
      </c>
      <c r="H22" s="23">
        <f t="shared" si="7"/>
        <v>105622918.5793</v>
      </c>
      <c r="I22" s="23">
        <f t="shared" si="0"/>
        <v>532265.4206999987</v>
      </c>
      <c r="J22" s="22">
        <f t="shared" si="8"/>
        <v>532265.4206999987</v>
      </c>
      <c r="K22" s="22">
        <f>ROUND(J22/'Table 8 Membership'!W25,0)</f>
        <v>10</v>
      </c>
      <c r="L22" s="22">
        <f t="shared" si="9"/>
        <v>0</v>
      </c>
      <c r="M22" s="134">
        <f t="shared" si="10"/>
        <v>0</v>
      </c>
      <c r="N22" s="22">
        <v>1370674.7593981472</v>
      </c>
      <c r="O22" s="22">
        <f>ROUND(D22*'Table 8 Membership'!Y25*-1,0)</f>
        <v>0</v>
      </c>
      <c r="P22" s="310">
        <f t="shared" si="1"/>
        <v>1902940.180098146</v>
      </c>
      <c r="Q22" s="686">
        <v>4453.5</v>
      </c>
      <c r="R22" s="324">
        <f t="shared" si="11"/>
        <v>377.8</v>
      </c>
      <c r="S22" s="22">
        <f t="shared" si="2"/>
        <v>8473087</v>
      </c>
      <c r="T22" s="22">
        <f>IF(S22&gt;0,'Table 3 Levels 1&amp;2'!C25,0)</f>
        <v>51323</v>
      </c>
      <c r="U22" s="134">
        <f>ROUND(S22/'Table 3 Levels 1&amp;2'!C25,0)</f>
        <v>165</v>
      </c>
      <c r="V22" s="134">
        <f t="shared" si="12"/>
        <v>1</v>
      </c>
      <c r="W22" s="22">
        <f t="shared" si="3"/>
        <v>0</v>
      </c>
      <c r="X22" s="687">
        <v>24</v>
      </c>
      <c r="Y22" s="687">
        <f>'[2]Sheet1'!C20</f>
        <v>11</v>
      </c>
      <c r="Z22" s="134">
        <f t="shared" si="13"/>
        <v>-13</v>
      </c>
      <c r="AA22" s="22">
        <f>ROUND($AA$4*Y22,0)+1</f>
        <v>169775</v>
      </c>
      <c r="AB22" s="308">
        <v>567</v>
      </c>
      <c r="AC22" s="308">
        <v>30159360</v>
      </c>
      <c r="AD22" s="308">
        <f>IF(ROUND(AB22*'Table 3 Levels 1&amp;2'!C25,0)&gt;'Table 4 Level 3'!AC22,AC22,ROUND(AB22*'Table 3 Levels 1&amp;2'!C25,0))</f>
        <v>29100141</v>
      </c>
      <c r="AE22" s="308">
        <f t="shared" si="4"/>
        <v>37743003</v>
      </c>
    </row>
    <row r="23" spans="1:31" ht="12.75">
      <c r="A23" s="660">
        <v>18</v>
      </c>
      <c r="B23" s="660" t="s">
        <v>159</v>
      </c>
      <c r="C23" s="23">
        <f>'Table 3 Levels 1&amp;2'!AN26</f>
        <v>7482741</v>
      </c>
      <c r="D23" s="23">
        <f>ROUND(C23/'Table 3 Levels 1&amp;2'!C26,2)</f>
        <v>4340.34</v>
      </c>
      <c r="E23" s="684">
        <f t="shared" si="5"/>
        <v>3</v>
      </c>
      <c r="F23" s="23">
        <v>7363101.4573</v>
      </c>
      <c r="G23" s="685">
        <f t="shared" si="6"/>
        <v>32400</v>
      </c>
      <c r="H23" s="23">
        <f t="shared" si="7"/>
        <v>7330701.4573</v>
      </c>
      <c r="I23" s="23">
        <f t="shared" si="0"/>
        <v>152039.5427000001</v>
      </c>
      <c r="J23" s="22">
        <f t="shared" si="8"/>
        <v>152039.5427000001</v>
      </c>
      <c r="K23" s="22">
        <f>ROUND(J23/'Table 8 Membership'!W26,0)</f>
        <v>84</v>
      </c>
      <c r="L23" s="22">
        <f t="shared" si="9"/>
        <v>0</v>
      </c>
      <c r="M23" s="134">
        <f t="shared" si="10"/>
        <v>0</v>
      </c>
      <c r="N23" s="22">
        <v>73891.19751792068</v>
      </c>
      <c r="O23" s="22">
        <f>ROUND(D23*'Table 8 Membership'!Y26*-1,0)</f>
        <v>0</v>
      </c>
      <c r="P23" s="310">
        <f t="shared" si="1"/>
        <v>225930.7402179208</v>
      </c>
      <c r="Q23" s="686">
        <v>154.885714292526</v>
      </c>
      <c r="R23" s="324">
        <f t="shared" si="11"/>
        <v>1289.74</v>
      </c>
      <c r="S23" s="22">
        <f t="shared" si="2"/>
        <v>134931</v>
      </c>
      <c r="T23" s="22">
        <f>IF(S23&gt;0,'Table 3 Levels 1&amp;2'!C26,0)</f>
        <v>1724</v>
      </c>
      <c r="U23" s="134">
        <f>ROUND(S23/'Table 3 Levels 1&amp;2'!C26,0)</f>
        <v>78</v>
      </c>
      <c r="V23" s="134">
        <f t="shared" si="12"/>
        <v>1</v>
      </c>
      <c r="W23" s="22">
        <f t="shared" si="3"/>
        <v>0</v>
      </c>
      <c r="X23" s="687">
        <v>2</v>
      </c>
      <c r="Y23" s="687">
        <f>'[2]Sheet1'!C21</f>
        <v>0</v>
      </c>
      <c r="Z23" s="134">
        <f t="shared" si="13"/>
        <v>-2</v>
      </c>
      <c r="AA23" s="22">
        <f t="shared" si="14"/>
        <v>0</v>
      </c>
      <c r="AB23" s="308">
        <v>0</v>
      </c>
      <c r="AC23" s="308">
        <v>0</v>
      </c>
      <c r="AD23" s="308">
        <f>IF(ROUND(AB23*'Table 3 Levels 1&amp;2'!C26,0)&gt;'Table 4 Level 3'!AC23,AC23,ROUND(AB23*'Table 3 Levels 1&amp;2'!C26,0))</f>
        <v>0</v>
      </c>
      <c r="AE23" s="308">
        <f t="shared" si="4"/>
        <v>134931</v>
      </c>
    </row>
    <row r="24" spans="1:31" ht="12.75">
      <c r="A24" s="660">
        <v>19</v>
      </c>
      <c r="B24" s="660" t="s">
        <v>160</v>
      </c>
      <c r="C24" s="23">
        <f>'Table 3 Levels 1&amp;2'!AN27</f>
        <v>10032681</v>
      </c>
      <c r="D24" s="23">
        <f>ROUND(C24/'Table 3 Levels 1&amp;2'!C27,2)</f>
        <v>4055.25</v>
      </c>
      <c r="E24" s="684">
        <f t="shared" si="5"/>
        <v>18</v>
      </c>
      <c r="F24" s="23">
        <v>10080298.5766</v>
      </c>
      <c r="G24" s="685">
        <f t="shared" si="6"/>
        <v>32400</v>
      </c>
      <c r="H24" s="23">
        <f t="shared" si="7"/>
        <v>10047898.5766</v>
      </c>
      <c r="I24" s="23">
        <f t="shared" si="0"/>
        <v>-15217.576600000262</v>
      </c>
      <c r="J24" s="22">
        <f t="shared" si="8"/>
        <v>0</v>
      </c>
      <c r="K24" s="22">
        <f>ROUND(J24/'Table 8 Membership'!W27,0)</f>
        <v>0</v>
      </c>
      <c r="L24" s="22">
        <f t="shared" si="9"/>
        <v>-15217.576600000262</v>
      </c>
      <c r="M24" s="134">
        <f t="shared" si="10"/>
        <v>1</v>
      </c>
      <c r="N24" s="22">
        <v>101158.92175093059</v>
      </c>
      <c r="O24" s="22">
        <f>ROUND(D24*'Table 8 Membership'!Y27*-1,0)</f>
        <v>0</v>
      </c>
      <c r="P24" s="310">
        <f t="shared" si="1"/>
        <v>101158.92175093059</v>
      </c>
      <c r="Q24" s="686">
        <v>217.379999995232</v>
      </c>
      <c r="R24" s="324">
        <f t="shared" si="11"/>
        <v>411.45</v>
      </c>
      <c r="S24" s="22">
        <f t="shared" si="2"/>
        <v>405307</v>
      </c>
      <c r="T24" s="22">
        <f>IF(S24&gt;0,'Table 3 Levels 1&amp;2'!C27,0)</f>
        <v>2474</v>
      </c>
      <c r="U24" s="134">
        <f>ROUND(S24/'Table 3 Levels 1&amp;2'!C27,0)</f>
        <v>164</v>
      </c>
      <c r="V24" s="134">
        <f t="shared" si="12"/>
        <v>1</v>
      </c>
      <c r="W24" s="22">
        <f t="shared" si="3"/>
        <v>0</v>
      </c>
      <c r="X24" s="687">
        <v>2</v>
      </c>
      <c r="Y24" s="687">
        <f>'[2]Sheet1'!C22</f>
        <v>2</v>
      </c>
      <c r="Z24" s="134">
        <f t="shared" si="13"/>
        <v>0</v>
      </c>
      <c r="AA24" s="22">
        <f>ROUND($AA$4*Y24,0)+2</f>
        <v>30870</v>
      </c>
      <c r="AB24" s="308">
        <v>0</v>
      </c>
      <c r="AC24" s="308">
        <v>0</v>
      </c>
      <c r="AD24" s="308">
        <f>IF(ROUND(AB24*'Table 3 Levels 1&amp;2'!C27,0)&gt;'Table 4 Level 3'!AC24,AC24,ROUND(AB24*'Table 3 Levels 1&amp;2'!C27,0))</f>
        <v>0</v>
      </c>
      <c r="AE24" s="308">
        <f t="shared" si="4"/>
        <v>436177</v>
      </c>
    </row>
    <row r="25" spans="1:31" ht="12.75">
      <c r="A25" s="661">
        <v>20</v>
      </c>
      <c r="B25" s="661" t="s">
        <v>161</v>
      </c>
      <c r="C25" s="24">
        <f>'Table 3 Levels 1&amp;2'!AN28</f>
        <v>23479653</v>
      </c>
      <c r="D25" s="24">
        <f>ROUND(C25/'Table 3 Levels 1&amp;2'!C28,2)</f>
        <v>3767.6</v>
      </c>
      <c r="E25" s="688">
        <f t="shared" si="5"/>
        <v>31</v>
      </c>
      <c r="F25" s="24">
        <v>21289816.7921</v>
      </c>
      <c r="G25" s="689">
        <f t="shared" si="6"/>
        <v>0</v>
      </c>
      <c r="H25" s="434">
        <f t="shared" si="7"/>
        <v>21289816.7921</v>
      </c>
      <c r="I25" s="24">
        <f t="shared" si="0"/>
        <v>2189836.207899999</v>
      </c>
      <c r="J25" s="369">
        <f t="shared" si="8"/>
        <v>2189836.207899999</v>
      </c>
      <c r="K25" s="369">
        <f>ROUND(J25/'Table 8 Membership'!W28,0)</f>
        <v>350</v>
      </c>
      <c r="L25" s="369">
        <f t="shared" si="9"/>
        <v>0</v>
      </c>
      <c r="M25" s="309">
        <f t="shared" si="10"/>
        <v>0</v>
      </c>
      <c r="N25" s="369">
        <v>214535.57743786657</v>
      </c>
      <c r="O25" s="369">
        <f>ROUND(D25*'Table 8 Membership'!Y28*-1,0)</f>
        <v>0</v>
      </c>
      <c r="P25" s="690">
        <f t="shared" si="1"/>
        <v>2404371.7853378654</v>
      </c>
      <c r="Q25" s="691">
        <v>508.69999998807907</v>
      </c>
      <c r="R25" s="692">
        <f t="shared" si="11"/>
        <v>4179.05</v>
      </c>
      <c r="S25" s="369">
        <f t="shared" si="2"/>
        <v>0</v>
      </c>
      <c r="T25" s="369">
        <f>IF(S25&gt;0,'Table 3 Levels 1&amp;2'!C28,0)</f>
        <v>0</v>
      </c>
      <c r="U25" s="309">
        <f>ROUND(S25/'Table 3 Levels 1&amp;2'!C28,0)</f>
        <v>0</v>
      </c>
      <c r="V25" s="309">
        <f t="shared" si="12"/>
        <v>0</v>
      </c>
      <c r="W25" s="369">
        <f t="shared" si="3"/>
        <v>-1219174</v>
      </c>
      <c r="X25" s="693">
        <v>0</v>
      </c>
      <c r="Y25" s="694">
        <f>'[2]Sheet1'!C23</f>
        <v>1</v>
      </c>
      <c r="Z25" s="309">
        <f t="shared" si="13"/>
        <v>1</v>
      </c>
      <c r="AA25" s="369">
        <f t="shared" si="14"/>
        <v>15434</v>
      </c>
      <c r="AB25" s="695">
        <v>30</v>
      </c>
      <c r="AC25" s="695">
        <v>190543</v>
      </c>
      <c r="AD25" s="695">
        <f>IF(ROUND(AB25*'Table 3 Levels 1&amp;2'!C28,0)&gt;'Table 4 Level 3'!AC25,AC25,ROUND(AB25*'Table 3 Levels 1&amp;2'!C28,0))</f>
        <v>186960</v>
      </c>
      <c r="AE25" s="695">
        <f t="shared" si="4"/>
        <v>-1016780</v>
      </c>
    </row>
    <row r="26" spans="1:31" ht="12.75">
      <c r="A26" s="660">
        <v>21</v>
      </c>
      <c r="B26" s="660" t="s">
        <v>162</v>
      </c>
      <c r="C26" s="23">
        <f>'Table 3 Levels 1&amp;2'!AN29</f>
        <v>14147059</v>
      </c>
      <c r="D26" s="23">
        <f>ROUND(C26/'Table 3 Levels 1&amp;2'!C29,2)</f>
        <v>3804</v>
      </c>
      <c r="E26" s="684">
        <f t="shared" si="5"/>
        <v>28</v>
      </c>
      <c r="F26" s="23">
        <v>13843595.3542</v>
      </c>
      <c r="G26" s="685">
        <f t="shared" si="6"/>
        <v>0</v>
      </c>
      <c r="H26" s="23">
        <f t="shared" si="7"/>
        <v>13843595.3542</v>
      </c>
      <c r="I26" s="23">
        <f t="shared" si="0"/>
        <v>303463.64580000006</v>
      </c>
      <c r="J26" s="22">
        <f t="shared" si="8"/>
        <v>303463.64580000006</v>
      </c>
      <c r="K26" s="22">
        <f>ROUND(J26/'Table 8 Membership'!W29,0)</f>
        <v>79</v>
      </c>
      <c r="L26" s="22">
        <f t="shared" si="9"/>
        <v>0</v>
      </c>
      <c r="M26" s="134">
        <f t="shared" si="10"/>
        <v>0</v>
      </c>
      <c r="N26" s="22">
        <v>138923.31126428847</v>
      </c>
      <c r="O26" s="22">
        <f>ROUND(D26*'Table 8 Membership'!Y29*-1,0)</f>
        <v>0</v>
      </c>
      <c r="P26" s="310">
        <f t="shared" si="1"/>
        <v>442386.95706428855</v>
      </c>
      <c r="Q26" s="686">
        <v>325.40000003576296</v>
      </c>
      <c r="R26" s="324">
        <f t="shared" si="11"/>
        <v>1202.05</v>
      </c>
      <c r="S26" s="22">
        <f t="shared" si="2"/>
        <v>315749</v>
      </c>
      <c r="T26" s="22">
        <f>IF(S26&gt;0,'Table 3 Levels 1&amp;2'!C29,0)</f>
        <v>3719</v>
      </c>
      <c r="U26" s="134">
        <f>ROUND(S26/'Table 3 Levels 1&amp;2'!C29,0)</f>
        <v>85</v>
      </c>
      <c r="V26" s="134">
        <f t="shared" si="12"/>
        <v>1</v>
      </c>
      <c r="W26" s="22">
        <f t="shared" si="3"/>
        <v>0</v>
      </c>
      <c r="X26" s="687">
        <v>0</v>
      </c>
      <c r="Y26" s="687">
        <f>'[2]Sheet1'!C24</f>
        <v>0</v>
      </c>
      <c r="Z26" s="134">
        <f t="shared" si="13"/>
        <v>0</v>
      </c>
      <c r="AA26" s="22">
        <f t="shared" si="14"/>
        <v>0</v>
      </c>
      <c r="AB26" s="308">
        <v>0</v>
      </c>
      <c r="AC26" s="308">
        <v>0</v>
      </c>
      <c r="AD26" s="308">
        <f>IF(ROUND(AB26*'Table 3 Levels 1&amp;2'!C29,0)&gt;'Table 4 Level 3'!AC26,AC26,ROUND(AB26*'Table 3 Levels 1&amp;2'!C29,0))</f>
        <v>0</v>
      </c>
      <c r="AE26" s="308">
        <f t="shared" si="4"/>
        <v>315749</v>
      </c>
    </row>
    <row r="27" spans="1:31" ht="12.75">
      <c r="A27" s="660">
        <v>22</v>
      </c>
      <c r="B27" s="660" t="s">
        <v>163</v>
      </c>
      <c r="C27" s="23">
        <f>'Table 3 Levels 1&amp;2'!AN30</f>
        <v>15605262</v>
      </c>
      <c r="D27" s="23">
        <f>ROUND(C27/'Table 3 Levels 1&amp;2'!C30,2)</f>
        <v>4338.41</v>
      </c>
      <c r="E27" s="684">
        <f t="shared" si="5"/>
        <v>4</v>
      </c>
      <c r="F27" s="23">
        <v>14681225.7768</v>
      </c>
      <c r="G27" s="685">
        <f t="shared" si="6"/>
        <v>0</v>
      </c>
      <c r="H27" s="23">
        <f t="shared" si="7"/>
        <v>14681225.7768</v>
      </c>
      <c r="I27" s="23">
        <f t="shared" si="0"/>
        <v>924036.2232000008</v>
      </c>
      <c r="J27" s="22">
        <f t="shared" si="8"/>
        <v>924036.2232000008</v>
      </c>
      <c r="K27" s="22">
        <f>ROUND(J27/'Table 8 Membership'!W30,0)</f>
        <v>258</v>
      </c>
      <c r="L27" s="22">
        <f t="shared" si="9"/>
        <v>0</v>
      </c>
      <c r="M27" s="134">
        <f t="shared" si="10"/>
        <v>0</v>
      </c>
      <c r="N27" s="22">
        <v>147329.79173920208</v>
      </c>
      <c r="O27" s="22">
        <f>ROUND(D27*'Table 8 Membership'!Y30*-1,0)</f>
        <v>-69415</v>
      </c>
      <c r="P27" s="310">
        <f t="shared" si="1"/>
        <v>1001951.0149392029</v>
      </c>
      <c r="Q27" s="686">
        <v>284.0833333134651</v>
      </c>
      <c r="R27" s="324">
        <f t="shared" si="11"/>
        <v>3118.45</v>
      </c>
      <c r="S27" s="22">
        <f t="shared" si="2"/>
        <v>0</v>
      </c>
      <c r="T27" s="22">
        <f>IF(S27&gt;0,'Table 3 Levels 1&amp;2'!C30,0)</f>
        <v>0</v>
      </c>
      <c r="U27" s="134">
        <f>ROUND(S27/'Table 3 Levels 1&amp;2'!C30,0)</f>
        <v>0</v>
      </c>
      <c r="V27" s="134">
        <f t="shared" si="12"/>
        <v>0</v>
      </c>
      <c r="W27" s="22">
        <f t="shared" si="3"/>
        <v>-340078</v>
      </c>
      <c r="X27" s="687">
        <v>0</v>
      </c>
      <c r="Y27" s="687">
        <f>'[2]Sheet1'!C25</f>
        <v>1</v>
      </c>
      <c r="Z27" s="134">
        <f t="shared" si="13"/>
        <v>1</v>
      </c>
      <c r="AA27" s="22">
        <f t="shared" si="14"/>
        <v>15434</v>
      </c>
      <c r="AB27" s="308">
        <v>0</v>
      </c>
      <c r="AC27" s="308">
        <v>0</v>
      </c>
      <c r="AD27" s="308">
        <f>IF(ROUND(AB27*'Table 3 Levels 1&amp;2'!C30,0)&gt;'Table 4 Level 3'!AC27,AC27,ROUND(AB27*'Table 3 Levels 1&amp;2'!C30,0))</f>
        <v>0</v>
      </c>
      <c r="AE27" s="308">
        <f t="shared" si="4"/>
        <v>-324644</v>
      </c>
    </row>
    <row r="28" spans="1:31" ht="12.75">
      <c r="A28" s="660">
        <v>23</v>
      </c>
      <c r="B28" s="660" t="s">
        <v>164</v>
      </c>
      <c r="C28" s="23">
        <f>'Table 3 Levels 1&amp;2'!AN31</f>
        <v>53755609</v>
      </c>
      <c r="D28" s="23">
        <f>ROUND(C28/'Table 3 Levels 1&amp;2'!C31,2)</f>
        <v>3746.56</v>
      </c>
      <c r="E28" s="684">
        <f t="shared" si="5"/>
        <v>32</v>
      </c>
      <c r="F28" s="23">
        <v>52367876.7732</v>
      </c>
      <c r="G28" s="685">
        <f t="shared" si="6"/>
        <v>0</v>
      </c>
      <c r="H28" s="23">
        <f t="shared" si="7"/>
        <v>52367876.7732</v>
      </c>
      <c r="I28" s="23">
        <f t="shared" si="0"/>
        <v>1387732.2268000022</v>
      </c>
      <c r="J28" s="22">
        <f t="shared" si="8"/>
        <v>1387732.2268000022</v>
      </c>
      <c r="K28" s="22">
        <f>ROUND(J28/'Table 8 Membership'!W31,0)</f>
        <v>96</v>
      </c>
      <c r="L28" s="22">
        <f t="shared" si="9"/>
        <v>0</v>
      </c>
      <c r="M28" s="134">
        <f t="shared" si="10"/>
        <v>0</v>
      </c>
      <c r="N28" s="22">
        <v>525517.0354103437</v>
      </c>
      <c r="O28" s="22">
        <f>ROUND(D28*'Table 8 Membership'!Y31*-1,0)</f>
        <v>0</v>
      </c>
      <c r="P28" s="310">
        <f t="shared" si="1"/>
        <v>1913249.2622103458</v>
      </c>
      <c r="Q28" s="686">
        <v>1208.2500000596094</v>
      </c>
      <c r="R28" s="324">
        <f t="shared" si="11"/>
        <v>1400.08</v>
      </c>
      <c r="S28" s="22">
        <f t="shared" si="2"/>
        <v>901801</v>
      </c>
      <c r="T28" s="22">
        <f>IF(S28&gt;0,'Table 3 Levels 1&amp;2'!C31,0)</f>
        <v>14348</v>
      </c>
      <c r="U28" s="134">
        <f>ROUND(S28/'Table 3 Levels 1&amp;2'!C31,0)</f>
        <v>63</v>
      </c>
      <c r="V28" s="134">
        <f t="shared" si="12"/>
        <v>1</v>
      </c>
      <c r="W28" s="22">
        <f t="shared" si="3"/>
        <v>0</v>
      </c>
      <c r="X28" s="687">
        <v>0</v>
      </c>
      <c r="Y28" s="687">
        <f>'[2]Sheet1'!C26</f>
        <v>0</v>
      </c>
      <c r="Z28" s="134">
        <f t="shared" si="13"/>
        <v>0</v>
      </c>
      <c r="AA28" s="22">
        <f t="shared" si="14"/>
        <v>0</v>
      </c>
      <c r="AB28" s="308">
        <v>0</v>
      </c>
      <c r="AC28" s="308">
        <v>0</v>
      </c>
      <c r="AD28" s="308">
        <f>IF(ROUND(AB28*'Table 3 Levels 1&amp;2'!C31,0)&gt;'Table 4 Level 3'!AC28,AC28,ROUND(AB28*'Table 3 Levels 1&amp;2'!C31,0))</f>
        <v>0</v>
      </c>
      <c r="AE28" s="308">
        <f t="shared" si="4"/>
        <v>901801</v>
      </c>
    </row>
    <row r="29" spans="1:31" ht="12.75">
      <c r="A29" s="660">
        <v>24</v>
      </c>
      <c r="B29" s="660" t="s">
        <v>165</v>
      </c>
      <c r="C29" s="23">
        <f>'Table 3 Levels 1&amp;2'!AN32</f>
        <v>9526996</v>
      </c>
      <c r="D29" s="23">
        <f>ROUND(C29/'Table 3 Levels 1&amp;2'!C32,2)</f>
        <v>1996.02</v>
      </c>
      <c r="E29" s="684">
        <f t="shared" si="5"/>
        <v>61</v>
      </c>
      <c r="F29" s="23">
        <v>9679305.8348</v>
      </c>
      <c r="G29" s="685">
        <f t="shared" si="6"/>
        <v>64800</v>
      </c>
      <c r="H29" s="23">
        <f t="shared" si="7"/>
        <v>9614505.8348</v>
      </c>
      <c r="I29" s="23">
        <f t="shared" si="0"/>
        <v>-87509.83479999937</v>
      </c>
      <c r="J29" s="22">
        <f t="shared" si="8"/>
        <v>0</v>
      </c>
      <c r="K29" s="22">
        <f>ROUND(J29/'Table 8 Membership'!W32,0)</f>
        <v>0</v>
      </c>
      <c r="L29" s="22">
        <f t="shared" si="9"/>
        <v>-87509.83479999937</v>
      </c>
      <c r="M29" s="134">
        <f t="shared" si="10"/>
        <v>1</v>
      </c>
      <c r="N29" s="22">
        <v>126218.47206048152</v>
      </c>
      <c r="O29" s="22">
        <f>ROUND(D29*'Table 8 Membership'!Y32*-1,0)</f>
        <v>0</v>
      </c>
      <c r="P29" s="310">
        <f t="shared" si="1"/>
        <v>126218.47206048152</v>
      </c>
      <c r="Q29" s="686">
        <v>404.028571426868</v>
      </c>
      <c r="R29" s="324">
        <f t="shared" si="11"/>
        <v>276.22</v>
      </c>
      <c r="S29" s="22">
        <f t="shared" si="2"/>
        <v>815110</v>
      </c>
      <c r="T29" s="22">
        <f>IF(S29&gt;0,'Table 3 Levels 1&amp;2'!C32,0)</f>
        <v>4773</v>
      </c>
      <c r="U29" s="134">
        <f>ROUND(S29/'Table 3 Levels 1&amp;2'!C32,0)</f>
        <v>171</v>
      </c>
      <c r="V29" s="134">
        <f t="shared" si="12"/>
        <v>1</v>
      </c>
      <c r="W29" s="22">
        <f t="shared" si="3"/>
        <v>0</v>
      </c>
      <c r="X29" s="687">
        <v>4</v>
      </c>
      <c r="Y29" s="687">
        <f>'[2]Sheet1'!C27</f>
        <v>1</v>
      </c>
      <c r="Z29" s="134">
        <f t="shared" si="13"/>
        <v>-3</v>
      </c>
      <c r="AA29" s="22">
        <f>ROUND($AA$4*Y29,0)</f>
        <v>15434</v>
      </c>
      <c r="AB29" s="308">
        <v>586</v>
      </c>
      <c r="AC29" s="308">
        <v>2883789</v>
      </c>
      <c r="AD29" s="308">
        <f>IF(ROUND(AB29*'Table 3 Levels 1&amp;2'!C32,0)&gt;'Table 4 Level 3'!AC29,AC29,ROUND(AB29*'Table 3 Levels 1&amp;2'!C32,0))</f>
        <v>2796978</v>
      </c>
      <c r="AE29" s="308">
        <f t="shared" si="4"/>
        <v>3627522</v>
      </c>
    </row>
    <row r="30" spans="1:31" ht="12.75">
      <c r="A30" s="661">
        <v>25</v>
      </c>
      <c r="B30" s="661" t="s">
        <v>166</v>
      </c>
      <c r="C30" s="24">
        <f>'Table 3 Levels 1&amp;2'!AN33</f>
        <v>10492846</v>
      </c>
      <c r="D30" s="24">
        <f>ROUND(C30/'Table 3 Levels 1&amp;2'!C33,2)</f>
        <v>4158.88</v>
      </c>
      <c r="E30" s="688">
        <f t="shared" si="5"/>
        <v>12</v>
      </c>
      <c r="F30" s="24">
        <v>9900424.5347</v>
      </c>
      <c r="G30" s="689">
        <f t="shared" si="6"/>
        <v>32400</v>
      </c>
      <c r="H30" s="434">
        <f t="shared" si="7"/>
        <v>9868024.5347</v>
      </c>
      <c r="I30" s="24">
        <f t="shared" si="0"/>
        <v>624821.4652999993</v>
      </c>
      <c r="J30" s="369">
        <f t="shared" si="8"/>
        <v>624821.4652999993</v>
      </c>
      <c r="K30" s="369">
        <f>ROUND(J30/'Table 8 Membership'!W33,0)</f>
        <v>245</v>
      </c>
      <c r="L30" s="369">
        <f t="shared" si="9"/>
        <v>0</v>
      </c>
      <c r="M30" s="309">
        <f t="shared" si="10"/>
        <v>0</v>
      </c>
      <c r="N30" s="369">
        <v>98662.92019176594</v>
      </c>
      <c r="O30" s="369">
        <f>ROUND(D30*'Table 8 Membership'!Y33*-1,0)</f>
        <v>0</v>
      </c>
      <c r="P30" s="690">
        <f t="shared" si="1"/>
        <v>723484.3854917653</v>
      </c>
      <c r="Q30" s="691">
        <v>213.9599994421003</v>
      </c>
      <c r="R30" s="692">
        <f t="shared" si="11"/>
        <v>2989.74</v>
      </c>
      <c r="S30" s="369">
        <f t="shared" si="2"/>
        <v>0</v>
      </c>
      <c r="T30" s="369">
        <f>IF(S30&gt;0,'Table 3 Levels 1&amp;2'!C33,0)</f>
        <v>0</v>
      </c>
      <c r="U30" s="309">
        <f>ROUND(S30/'Table 3 Levels 1&amp;2'!C33,0)</f>
        <v>0</v>
      </c>
      <c r="V30" s="309">
        <f t="shared" si="12"/>
        <v>0</v>
      </c>
      <c r="W30" s="369">
        <f t="shared" si="3"/>
        <v>-224987</v>
      </c>
      <c r="X30" s="693">
        <v>2</v>
      </c>
      <c r="Y30" s="694">
        <f>'[2]Sheet1'!C28</f>
        <v>2</v>
      </c>
      <c r="Z30" s="309">
        <f t="shared" si="13"/>
        <v>0</v>
      </c>
      <c r="AA30" s="369">
        <f>ROUND($AA$4*Y30,0)+2</f>
        <v>30870</v>
      </c>
      <c r="AB30" s="695">
        <v>0</v>
      </c>
      <c r="AC30" s="695">
        <v>0</v>
      </c>
      <c r="AD30" s="695">
        <f>IF(ROUND(AB30*'Table 3 Levels 1&amp;2'!C33,0)&gt;'Table 4 Level 3'!AC30,AC30,ROUND(AB30*'Table 3 Levels 1&amp;2'!C33,0))</f>
        <v>0</v>
      </c>
      <c r="AE30" s="695">
        <f t="shared" si="4"/>
        <v>-194117</v>
      </c>
    </row>
    <row r="31" spans="1:31" ht="12.75">
      <c r="A31" s="660">
        <v>26</v>
      </c>
      <c r="B31" s="660" t="s">
        <v>167</v>
      </c>
      <c r="C31" s="23">
        <f>'Table 3 Levels 1&amp;2'!AN34</f>
        <v>96820925</v>
      </c>
      <c r="D31" s="23">
        <f>ROUND(C31/'Table 3 Levels 1&amp;2'!C34,2)</f>
        <v>1929.9</v>
      </c>
      <c r="E31" s="684">
        <f t="shared" si="5"/>
        <v>62</v>
      </c>
      <c r="F31" s="23">
        <v>94428342.393</v>
      </c>
      <c r="G31" s="685">
        <f t="shared" si="6"/>
        <v>113400</v>
      </c>
      <c r="H31" s="23">
        <f t="shared" si="7"/>
        <v>94314942.393</v>
      </c>
      <c r="I31" s="23">
        <f t="shared" si="0"/>
        <v>2505982.6069999933</v>
      </c>
      <c r="J31" s="22">
        <f t="shared" si="8"/>
        <v>2505982.6069999933</v>
      </c>
      <c r="K31" s="22">
        <f>ROUND(J31/'Table 8 Membership'!W34,0)</f>
        <v>50</v>
      </c>
      <c r="L31" s="22">
        <f t="shared" si="9"/>
        <v>0</v>
      </c>
      <c r="M31" s="134">
        <f t="shared" si="10"/>
        <v>0</v>
      </c>
      <c r="N31" s="22">
        <v>1212038.8760471626</v>
      </c>
      <c r="O31" s="22">
        <f>ROUND(D31*'Table 8 Membership'!Y34*-1,0)</f>
        <v>0</v>
      </c>
      <c r="P31" s="310">
        <f t="shared" si="1"/>
        <v>3718021.4830471557</v>
      </c>
      <c r="Q31" s="686">
        <v>4095</v>
      </c>
      <c r="R31" s="324">
        <f t="shared" si="11"/>
        <v>802.78</v>
      </c>
      <c r="S31" s="22">
        <f t="shared" si="2"/>
        <v>5822745</v>
      </c>
      <c r="T31" s="22">
        <f>IF(S31&gt;0,'Table 3 Levels 1&amp;2'!C34,0)</f>
        <v>50169</v>
      </c>
      <c r="U31" s="134">
        <f>ROUND(S31/'Table 3 Levels 1&amp;2'!C34,0)</f>
        <v>116</v>
      </c>
      <c r="V31" s="134">
        <f t="shared" si="12"/>
        <v>1</v>
      </c>
      <c r="W31" s="22">
        <f t="shared" si="3"/>
        <v>0</v>
      </c>
      <c r="X31" s="687">
        <v>7</v>
      </c>
      <c r="Y31" s="687">
        <f>'[2]Sheet1'!C29</f>
        <v>1</v>
      </c>
      <c r="Z31" s="134">
        <f t="shared" si="13"/>
        <v>-6</v>
      </c>
      <c r="AA31" s="22">
        <f>ROUND($AA$4*Y31,0)+1</f>
        <v>15435</v>
      </c>
      <c r="AB31" s="308">
        <v>523</v>
      </c>
      <c r="AC31" s="308">
        <v>26333892</v>
      </c>
      <c r="AD31" s="308">
        <f>IF(ROUND(AB31*'Table 3 Levels 1&amp;2'!C34,0)&gt;'Table 4 Level 3'!AC31,AC31,ROUND(AB31*'Table 3 Levels 1&amp;2'!C34,0))</f>
        <v>26238387</v>
      </c>
      <c r="AE31" s="308">
        <f t="shared" si="4"/>
        <v>32076567</v>
      </c>
    </row>
    <row r="32" spans="1:31" ht="12.75">
      <c r="A32" s="660">
        <v>27</v>
      </c>
      <c r="B32" s="660" t="s">
        <v>168</v>
      </c>
      <c r="C32" s="23">
        <f>'Table 3 Levels 1&amp;2'!AN35</f>
        <v>22549491</v>
      </c>
      <c r="D32" s="23">
        <f>ROUND(C32/'Table 3 Levels 1&amp;2'!C35,2)</f>
        <v>3928.48</v>
      </c>
      <c r="E32" s="684">
        <f t="shared" si="5"/>
        <v>21</v>
      </c>
      <c r="F32" s="23">
        <v>22114167.0495</v>
      </c>
      <c r="G32" s="685">
        <f t="shared" si="6"/>
        <v>0</v>
      </c>
      <c r="H32" s="23">
        <f t="shared" si="7"/>
        <v>22114167.0495</v>
      </c>
      <c r="I32" s="23">
        <f t="shared" si="0"/>
        <v>435323.95050000027</v>
      </c>
      <c r="J32" s="22">
        <f t="shared" si="8"/>
        <v>435323.95050000027</v>
      </c>
      <c r="K32" s="22">
        <f>ROUND(J32/'Table 8 Membership'!W35,0)</f>
        <v>74</v>
      </c>
      <c r="L32" s="22">
        <f t="shared" si="9"/>
        <v>0</v>
      </c>
      <c r="M32" s="134">
        <f t="shared" si="10"/>
        <v>0</v>
      </c>
      <c r="N32" s="22">
        <v>221919.57577204786</v>
      </c>
      <c r="O32" s="22">
        <f>ROUND(D32*'Table 8 Membership'!Y35*-1,0)</f>
        <v>0</v>
      </c>
      <c r="P32" s="310">
        <f t="shared" si="1"/>
        <v>657243.5262720481</v>
      </c>
      <c r="Q32" s="686">
        <v>465.7000000178819</v>
      </c>
      <c r="R32" s="324">
        <f t="shared" si="11"/>
        <v>1247.84</v>
      </c>
      <c r="S32" s="22">
        <f t="shared" si="2"/>
        <v>427770</v>
      </c>
      <c r="T32" s="22">
        <f>IF(S32&gt;0,'Table 3 Levels 1&amp;2'!C35,0)</f>
        <v>5740</v>
      </c>
      <c r="U32" s="134">
        <f>ROUND(S32/'Table 3 Levels 1&amp;2'!C35,0)</f>
        <v>75</v>
      </c>
      <c r="V32" s="134">
        <f t="shared" si="12"/>
        <v>1</v>
      </c>
      <c r="W32" s="22">
        <f t="shared" si="3"/>
        <v>0</v>
      </c>
      <c r="X32" s="687">
        <v>0</v>
      </c>
      <c r="Y32" s="687">
        <f>'[2]Sheet1'!C30</f>
        <v>2</v>
      </c>
      <c r="Z32" s="134">
        <f t="shared" si="13"/>
        <v>2</v>
      </c>
      <c r="AA32" s="22">
        <f>ROUND($AA$4*Y32,0)+2</f>
        <v>30870</v>
      </c>
      <c r="AB32" s="308">
        <v>0</v>
      </c>
      <c r="AC32" s="308">
        <v>0</v>
      </c>
      <c r="AD32" s="308">
        <f>IF(ROUND(AB32*'Table 3 Levels 1&amp;2'!C35,0)&gt;'Table 4 Level 3'!AC32,AC32,ROUND(AB32*'Table 3 Levels 1&amp;2'!C35,0))</f>
        <v>0</v>
      </c>
      <c r="AE32" s="308">
        <f t="shared" si="4"/>
        <v>458640</v>
      </c>
    </row>
    <row r="33" spans="1:31" ht="12.75">
      <c r="A33" s="660">
        <v>28</v>
      </c>
      <c r="B33" s="660" t="s">
        <v>169</v>
      </c>
      <c r="C33" s="23">
        <f>'Table 3 Levels 1&amp;2'!AN36</f>
        <v>68706069</v>
      </c>
      <c r="D33" s="23">
        <f>ROUND(C33/'Table 3 Levels 1&amp;2'!C36,2)</f>
        <v>2360.22</v>
      </c>
      <c r="E33" s="684">
        <f t="shared" si="5"/>
        <v>59</v>
      </c>
      <c r="F33" s="23">
        <v>66291105.5666</v>
      </c>
      <c r="G33" s="685">
        <f t="shared" si="6"/>
        <v>64800</v>
      </c>
      <c r="H33" s="23">
        <f t="shared" si="7"/>
        <v>66226305.5666</v>
      </c>
      <c r="I33" s="23">
        <f t="shared" si="0"/>
        <v>2479763.4333999977</v>
      </c>
      <c r="J33" s="22">
        <f t="shared" si="8"/>
        <v>2479763.4333999977</v>
      </c>
      <c r="K33" s="22">
        <f>ROUND(J33/'Table 8 Membership'!W36,0)</f>
        <v>84</v>
      </c>
      <c r="L33" s="22">
        <f t="shared" si="9"/>
        <v>0</v>
      </c>
      <c r="M33" s="134">
        <f t="shared" si="10"/>
        <v>0</v>
      </c>
      <c r="N33" s="22">
        <v>688930.8333082729</v>
      </c>
      <c r="O33" s="22">
        <f>ROUND(D33*'Table 8 Membership'!Y36*-1,0)</f>
        <v>0</v>
      </c>
      <c r="P33" s="310">
        <f t="shared" si="1"/>
        <v>3168694.2667082706</v>
      </c>
      <c r="Q33" s="686">
        <v>2281.3961902111782</v>
      </c>
      <c r="R33" s="324">
        <f t="shared" si="11"/>
        <v>1228.05</v>
      </c>
      <c r="S33" s="22">
        <f t="shared" si="2"/>
        <v>2146647</v>
      </c>
      <c r="T33" s="22">
        <f>IF(S33&gt;0,'Table 3 Levels 1&amp;2'!C36,0)</f>
        <v>29110</v>
      </c>
      <c r="U33" s="134">
        <f>ROUND(S33/'Table 3 Levels 1&amp;2'!C36,0)</f>
        <v>74</v>
      </c>
      <c r="V33" s="134">
        <f t="shared" si="12"/>
        <v>1</v>
      </c>
      <c r="W33" s="22">
        <f t="shared" si="3"/>
        <v>0</v>
      </c>
      <c r="X33" s="687">
        <v>4</v>
      </c>
      <c r="Y33" s="687">
        <f>'[2]Sheet1'!C31</f>
        <v>28</v>
      </c>
      <c r="Z33" s="134">
        <f t="shared" si="13"/>
        <v>24</v>
      </c>
      <c r="AA33" s="22">
        <f>ROUND($AA$4*Y33,0)+3</f>
        <v>432155</v>
      </c>
      <c r="AB33" s="308">
        <v>69</v>
      </c>
      <c r="AC33" s="308">
        <v>2002961</v>
      </c>
      <c r="AD33" s="308">
        <f>IF(ROUND(AB33*'Table 3 Levels 1&amp;2'!C36,0)&gt;'Table 4 Level 3'!AC33,AC33,ROUND(AB33*'Table 3 Levels 1&amp;2'!C36,0))</f>
        <v>2002961</v>
      </c>
      <c r="AE33" s="308">
        <f t="shared" si="4"/>
        <v>4581763</v>
      </c>
    </row>
    <row r="34" spans="1:31" ht="12.75">
      <c r="A34" s="660">
        <v>29</v>
      </c>
      <c r="B34" s="660" t="s">
        <v>170</v>
      </c>
      <c r="C34" s="23">
        <f>'Table 3 Levels 1&amp;2'!AN37</f>
        <v>52663987</v>
      </c>
      <c r="D34" s="23">
        <f>ROUND(C34/'Table 3 Levels 1&amp;2'!C37,2)</f>
        <v>3494.39</v>
      </c>
      <c r="E34" s="684">
        <f t="shared" si="5"/>
        <v>42</v>
      </c>
      <c r="F34" s="23">
        <v>51195829.2703</v>
      </c>
      <c r="G34" s="685">
        <f t="shared" si="6"/>
        <v>32400</v>
      </c>
      <c r="H34" s="23">
        <f t="shared" si="7"/>
        <v>51163429.2703</v>
      </c>
      <c r="I34" s="23">
        <f t="shared" si="0"/>
        <v>1500557.729699999</v>
      </c>
      <c r="J34" s="22">
        <f t="shared" si="8"/>
        <v>1500557.729699999</v>
      </c>
      <c r="K34" s="22">
        <f>ROUND(J34/'Table 8 Membership'!W37,0)</f>
        <v>99</v>
      </c>
      <c r="L34" s="22">
        <f t="shared" si="9"/>
        <v>0</v>
      </c>
      <c r="M34" s="134">
        <f t="shared" si="10"/>
        <v>0</v>
      </c>
      <c r="N34" s="22">
        <v>513756.55073628546</v>
      </c>
      <c r="O34" s="22">
        <f>ROUND(D34*'Table 8 Membership'!Y37*-1,0)</f>
        <v>0</v>
      </c>
      <c r="P34" s="310">
        <f t="shared" si="1"/>
        <v>2014314.2804362846</v>
      </c>
      <c r="Q34" s="686">
        <v>1406.699999988079</v>
      </c>
      <c r="R34" s="324">
        <f t="shared" si="11"/>
        <v>1266.09</v>
      </c>
      <c r="S34" s="22">
        <f t="shared" si="2"/>
        <v>1263093</v>
      </c>
      <c r="T34" s="22">
        <f>IF(S34&gt;0,'Table 3 Levels 1&amp;2'!C37,0)</f>
        <v>15071</v>
      </c>
      <c r="U34" s="134">
        <f>ROUND(S34/'Table 3 Levels 1&amp;2'!C37,0)</f>
        <v>84</v>
      </c>
      <c r="V34" s="134">
        <f t="shared" si="12"/>
        <v>1</v>
      </c>
      <c r="W34" s="22">
        <f t="shared" si="3"/>
        <v>0</v>
      </c>
      <c r="X34" s="687">
        <v>2</v>
      </c>
      <c r="Y34" s="687">
        <f>'[2]Sheet1'!C32</f>
        <v>32</v>
      </c>
      <c r="Z34" s="134">
        <f t="shared" si="13"/>
        <v>30</v>
      </c>
      <c r="AA34" s="22">
        <f>ROUND($AA$4*Y34,0)+2</f>
        <v>493890</v>
      </c>
      <c r="AB34" s="308">
        <v>0</v>
      </c>
      <c r="AC34" s="308">
        <v>0</v>
      </c>
      <c r="AD34" s="308">
        <f>IF(ROUND(AB34*'Table 3 Levels 1&amp;2'!C37,0)&gt;'Table 4 Level 3'!AC34,AC34,ROUND(AB34*'Table 3 Levels 1&amp;2'!C37,0))</f>
        <v>0</v>
      </c>
      <c r="AE34" s="308">
        <f t="shared" si="4"/>
        <v>1756983</v>
      </c>
    </row>
    <row r="35" spans="1:31" ht="12.75">
      <c r="A35" s="661">
        <v>30</v>
      </c>
      <c r="B35" s="661" t="s">
        <v>171</v>
      </c>
      <c r="C35" s="24">
        <f>'Table 3 Levels 1&amp;2'!AN38</f>
        <v>10001995</v>
      </c>
      <c r="D35" s="24">
        <f>ROUND(C35/'Table 3 Levels 1&amp;2'!C38,2)</f>
        <v>3942.45</v>
      </c>
      <c r="E35" s="688">
        <f t="shared" si="5"/>
        <v>19</v>
      </c>
      <c r="F35" s="24">
        <v>9913481.89</v>
      </c>
      <c r="G35" s="689">
        <f t="shared" si="6"/>
        <v>64800</v>
      </c>
      <c r="H35" s="434">
        <f t="shared" si="7"/>
        <v>9848681.89</v>
      </c>
      <c r="I35" s="24">
        <f t="shared" si="0"/>
        <v>153313.1099999994</v>
      </c>
      <c r="J35" s="369">
        <f t="shared" si="8"/>
        <v>153313.1099999994</v>
      </c>
      <c r="K35" s="369">
        <f>ROUND(J35/'Table 8 Membership'!W38,0)</f>
        <v>59</v>
      </c>
      <c r="L35" s="369">
        <f t="shared" si="9"/>
        <v>0</v>
      </c>
      <c r="M35" s="309">
        <f t="shared" si="10"/>
        <v>0</v>
      </c>
      <c r="N35" s="369">
        <v>99483.75649464788</v>
      </c>
      <c r="O35" s="369">
        <f>ROUND(D35*'Table 8 Membership'!Y38*-1,0)</f>
        <v>0</v>
      </c>
      <c r="P35" s="690">
        <f t="shared" si="1"/>
        <v>252796.86649464729</v>
      </c>
      <c r="Q35" s="691">
        <v>210.16666668653488</v>
      </c>
      <c r="R35" s="692">
        <f t="shared" si="11"/>
        <v>1063.52</v>
      </c>
      <c r="S35" s="369">
        <f t="shared" si="2"/>
        <v>236862</v>
      </c>
      <c r="T35" s="369">
        <f>IF(S35&gt;0,'Table 3 Levels 1&amp;2'!C38,0)</f>
        <v>2537</v>
      </c>
      <c r="U35" s="309">
        <f>ROUND(S35/'Table 3 Levels 1&amp;2'!C38,0)</f>
        <v>93</v>
      </c>
      <c r="V35" s="309">
        <f t="shared" si="12"/>
        <v>1</v>
      </c>
      <c r="W35" s="369">
        <f t="shared" si="3"/>
        <v>0</v>
      </c>
      <c r="X35" s="693">
        <v>4</v>
      </c>
      <c r="Y35" s="694">
        <f>'[2]Sheet1'!C33</f>
        <v>0</v>
      </c>
      <c r="Z35" s="309">
        <f t="shared" si="13"/>
        <v>-4</v>
      </c>
      <c r="AA35" s="369">
        <f t="shared" si="14"/>
        <v>0</v>
      </c>
      <c r="AB35" s="695">
        <v>0</v>
      </c>
      <c r="AC35" s="695">
        <v>0</v>
      </c>
      <c r="AD35" s="695">
        <f>IF(ROUND(AB35*'Table 3 Levels 1&amp;2'!C38,0)&gt;'Table 4 Level 3'!AC35,AC35,ROUND(AB35*'Table 3 Levels 1&amp;2'!C38,0))</f>
        <v>0</v>
      </c>
      <c r="AE35" s="695">
        <f t="shared" si="4"/>
        <v>236862</v>
      </c>
    </row>
    <row r="36" spans="1:31" ht="12.75">
      <c r="A36" s="660">
        <v>31</v>
      </c>
      <c r="B36" s="660" t="s">
        <v>172</v>
      </c>
      <c r="C36" s="23">
        <f>'Table 3 Levels 1&amp;2'!AN39</f>
        <v>22639287</v>
      </c>
      <c r="D36" s="23">
        <f>ROUND(C36/'Table 3 Levels 1&amp;2'!C39,2)</f>
        <v>3429.16</v>
      </c>
      <c r="E36" s="684">
        <f t="shared" si="5"/>
        <v>44</v>
      </c>
      <c r="F36" s="23">
        <v>20192877.2982</v>
      </c>
      <c r="G36" s="685">
        <f t="shared" si="6"/>
        <v>113400</v>
      </c>
      <c r="H36" s="23">
        <f t="shared" si="7"/>
        <v>20079477.2982</v>
      </c>
      <c r="I36" s="23">
        <f t="shared" si="0"/>
        <v>2559809.7018</v>
      </c>
      <c r="J36" s="22">
        <f t="shared" si="8"/>
        <v>2559809.7018</v>
      </c>
      <c r="K36" s="22">
        <f>ROUND(J36/'Table 8 Membership'!W39,0)</f>
        <v>386</v>
      </c>
      <c r="L36" s="22">
        <f t="shared" si="9"/>
        <v>0</v>
      </c>
      <c r="M36" s="134">
        <f t="shared" si="10"/>
        <v>0</v>
      </c>
      <c r="N36" s="22">
        <v>202636.8478688709</v>
      </c>
      <c r="O36" s="22">
        <f>ROUND(D36*'Table 8 Membership'!Y39*-1,0)</f>
        <v>0</v>
      </c>
      <c r="P36" s="310">
        <f t="shared" si="1"/>
        <v>2762446.549668871</v>
      </c>
      <c r="Q36" s="686">
        <v>556.7999999523163</v>
      </c>
      <c r="R36" s="324">
        <f t="shared" si="11"/>
        <v>4386.64</v>
      </c>
      <c r="S36" s="22">
        <f t="shared" si="2"/>
        <v>0</v>
      </c>
      <c r="T36" s="22">
        <f>IF(S36&gt;0,'Table 3 Levels 1&amp;2'!C39,0)</f>
        <v>0</v>
      </c>
      <c r="U36" s="134">
        <f>ROUND(S36/'Table 3 Levels 1&amp;2'!C39,0)</f>
        <v>0</v>
      </c>
      <c r="V36" s="134">
        <f t="shared" si="12"/>
        <v>0</v>
      </c>
      <c r="W36" s="22">
        <f t="shared" si="3"/>
        <v>-1465180</v>
      </c>
      <c r="X36" s="687">
        <v>7</v>
      </c>
      <c r="Y36" s="687">
        <f>'[2]Sheet1'!C34</f>
        <v>6</v>
      </c>
      <c r="Z36" s="134">
        <f t="shared" si="13"/>
        <v>-1</v>
      </c>
      <c r="AA36" s="22">
        <f>ROUND($AA$4*Y36,0)+1</f>
        <v>92605</v>
      </c>
      <c r="AB36" s="308">
        <v>0</v>
      </c>
      <c r="AC36" s="308">
        <v>0</v>
      </c>
      <c r="AD36" s="308">
        <f>IF(ROUND(AB36*'Table 3 Levels 1&amp;2'!C39,0)&gt;'Table 4 Level 3'!AC36,AC36,ROUND(AB36*'Table 3 Levels 1&amp;2'!C39,0))</f>
        <v>0</v>
      </c>
      <c r="AE36" s="308">
        <f t="shared" si="4"/>
        <v>-1372575</v>
      </c>
    </row>
    <row r="37" spans="1:31" ht="12.75">
      <c r="A37" s="660">
        <v>32</v>
      </c>
      <c r="B37" s="660" t="s">
        <v>173</v>
      </c>
      <c r="C37" s="23">
        <f>'Table 3 Levels 1&amp;2'!AN40</f>
        <v>77815727</v>
      </c>
      <c r="D37" s="23">
        <f>ROUND(C37/'Table 3 Levels 1&amp;2'!C40,2)</f>
        <v>3904.84</v>
      </c>
      <c r="E37" s="684">
        <f t="shared" si="5"/>
        <v>23</v>
      </c>
      <c r="F37" s="23">
        <v>73224995.5182</v>
      </c>
      <c r="G37" s="685">
        <f t="shared" si="6"/>
        <v>113400</v>
      </c>
      <c r="H37" s="23">
        <f t="shared" si="7"/>
        <v>73111595.5182</v>
      </c>
      <c r="I37" s="23">
        <f t="shared" si="0"/>
        <v>4704131.481800005</v>
      </c>
      <c r="J37" s="22">
        <f t="shared" si="8"/>
        <v>4704131.481800005</v>
      </c>
      <c r="K37" s="22">
        <f>ROUND(J37/'Table 8 Membership'!W40,0)</f>
        <v>239</v>
      </c>
      <c r="L37" s="22">
        <f t="shared" si="9"/>
        <v>0</v>
      </c>
      <c r="M37" s="134">
        <f t="shared" si="10"/>
        <v>0</v>
      </c>
      <c r="N37" s="22">
        <v>734826.7626136905</v>
      </c>
      <c r="O37" s="22">
        <f>ROUND(D37*'Table 8 Membership'!Y40*-1,0)</f>
        <v>-816112</v>
      </c>
      <c r="P37" s="310">
        <f t="shared" si="1"/>
        <v>4622846.244413695</v>
      </c>
      <c r="Q37" s="686">
        <v>1406</v>
      </c>
      <c r="R37" s="324">
        <f t="shared" si="11"/>
        <v>2907.11</v>
      </c>
      <c r="S37" s="22">
        <f t="shared" si="2"/>
        <v>0</v>
      </c>
      <c r="T37" s="22">
        <f>IF(S37&gt;0,'Table 3 Levels 1&amp;2'!C40,0)</f>
        <v>0</v>
      </c>
      <c r="U37" s="134">
        <f>ROUND(S37/'Table 3 Levels 1&amp;2'!C40,0)</f>
        <v>0</v>
      </c>
      <c r="V37" s="134">
        <f t="shared" si="12"/>
        <v>0</v>
      </c>
      <c r="W37" s="22">
        <f t="shared" si="3"/>
        <v>-1347062</v>
      </c>
      <c r="X37" s="687">
        <v>7</v>
      </c>
      <c r="Y37" s="687">
        <f>'[2]Sheet1'!C35</f>
        <v>6</v>
      </c>
      <c r="Z37" s="134">
        <f t="shared" si="13"/>
        <v>-1</v>
      </c>
      <c r="AA37" s="22">
        <f>ROUND($AA$4*Y37,0)+1</f>
        <v>92605</v>
      </c>
      <c r="AB37" s="308">
        <v>0</v>
      </c>
      <c r="AC37" s="308">
        <v>0</v>
      </c>
      <c r="AD37" s="308">
        <f>IF(ROUND(AB37*'Table 3 Levels 1&amp;2'!C40,0)&gt;'Table 4 Level 3'!AC37,AC37,ROUND(AB37*'Table 3 Levels 1&amp;2'!C40,0))</f>
        <v>0</v>
      </c>
      <c r="AE37" s="308">
        <f t="shared" si="4"/>
        <v>-1254457</v>
      </c>
    </row>
    <row r="38" spans="1:31" ht="12.75">
      <c r="A38" s="660">
        <v>33</v>
      </c>
      <c r="B38" s="660" t="s">
        <v>174</v>
      </c>
      <c r="C38" s="23">
        <f>'Table 3 Levels 1&amp;2'!AN41</f>
        <v>8957024</v>
      </c>
      <c r="D38" s="23">
        <f>ROUND(C38/'Table 3 Levels 1&amp;2'!C41,2)</f>
        <v>3787.33</v>
      </c>
      <c r="E38" s="684">
        <f t="shared" si="5"/>
        <v>29</v>
      </c>
      <c r="F38" s="23">
        <v>9158349.1495</v>
      </c>
      <c r="G38" s="685">
        <f t="shared" si="6"/>
        <v>16200</v>
      </c>
      <c r="H38" s="23">
        <f t="shared" si="7"/>
        <v>9142149.1495</v>
      </c>
      <c r="I38" s="23">
        <f aca="true" t="shared" si="15" ref="I38:I69">C38-H38</f>
        <v>-185125.14949999936</v>
      </c>
      <c r="J38" s="22">
        <f t="shared" si="8"/>
        <v>0</v>
      </c>
      <c r="K38" s="22">
        <f>ROUND(J38/'Table 8 Membership'!W41,0)</f>
        <v>0</v>
      </c>
      <c r="L38" s="22">
        <f t="shared" si="9"/>
        <v>-185125.14949999936</v>
      </c>
      <c r="M38" s="134">
        <f t="shared" si="10"/>
        <v>1</v>
      </c>
      <c r="N38" s="22">
        <v>91907.27103917181</v>
      </c>
      <c r="O38" s="22">
        <f>ROUND(D38*'Table 8 Membership'!Y41*-1,0)</f>
        <v>0</v>
      </c>
      <c r="P38" s="310">
        <f aca="true" t="shared" si="16" ref="P38:P69">+N38+J38+O38</f>
        <v>91907.27103917181</v>
      </c>
      <c r="Q38" s="686">
        <v>209.4085714221</v>
      </c>
      <c r="R38" s="324">
        <f t="shared" si="11"/>
        <v>388.05</v>
      </c>
      <c r="S38" s="22">
        <f aca="true" t="shared" si="17" ref="S38:S69">IF(R38&lt;$S$4,ROUND(($S$4-R38)*Q38*1.131,0),0)</f>
        <v>395986</v>
      </c>
      <c r="T38" s="22">
        <f>IF(S38&gt;0,'Table 3 Levels 1&amp;2'!C41,0)</f>
        <v>2365</v>
      </c>
      <c r="U38" s="134">
        <f>ROUND(S38/'Table 3 Levels 1&amp;2'!C41,0)</f>
        <v>167</v>
      </c>
      <c r="V38" s="134">
        <f t="shared" si="12"/>
        <v>1</v>
      </c>
      <c r="W38" s="22">
        <f aca="true" t="shared" si="18" ref="W38:W71">IF(R38&gt;$W$4,ROUND((R38-$W$4)*Q38*1.131*-1,0),0)</f>
        <v>0</v>
      </c>
      <c r="X38" s="687">
        <v>1</v>
      </c>
      <c r="Y38" s="687">
        <f>'[2]Sheet1'!C36</f>
        <v>0</v>
      </c>
      <c r="Z38" s="134">
        <f t="shared" si="13"/>
        <v>-1</v>
      </c>
      <c r="AA38" s="22">
        <f t="shared" si="14"/>
        <v>0</v>
      </c>
      <c r="AB38" s="308">
        <v>0</v>
      </c>
      <c r="AC38" s="308">
        <v>0</v>
      </c>
      <c r="AD38" s="308">
        <f>IF(ROUND(AB38*'Table 3 Levels 1&amp;2'!C41,0)&gt;'Table 4 Level 3'!AC38,AC38,ROUND(AB38*'Table 3 Levels 1&amp;2'!C41,0))</f>
        <v>0</v>
      </c>
      <c r="AE38" s="308">
        <f aca="true" t="shared" si="19" ref="AE38:AE69">S38+W38+AA38+AD38</f>
        <v>395986</v>
      </c>
    </row>
    <row r="39" spans="1:31" ht="12.75">
      <c r="A39" s="660">
        <v>34</v>
      </c>
      <c r="B39" s="660" t="s">
        <v>175</v>
      </c>
      <c r="C39" s="23">
        <f>'Table 3 Levels 1&amp;2'!AN42</f>
        <v>18941467</v>
      </c>
      <c r="D39" s="23">
        <f>ROUND(C39/'Table 3 Levels 1&amp;2'!C42,2)</f>
        <v>3663.02</v>
      </c>
      <c r="E39" s="684">
        <f t="shared" si="5"/>
        <v>34</v>
      </c>
      <c r="F39" s="23">
        <v>18542228.4856</v>
      </c>
      <c r="G39" s="685">
        <f t="shared" si="6"/>
        <v>0</v>
      </c>
      <c r="H39" s="23">
        <f t="shared" si="7"/>
        <v>18542228.4856</v>
      </c>
      <c r="I39" s="23">
        <f t="shared" si="15"/>
        <v>399238.5144000016</v>
      </c>
      <c r="J39" s="22">
        <f t="shared" si="8"/>
        <v>399238.5144000016</v>
      </c>
      <c r="K39" s="22">
        <f>ROUND(J39/'Table 8 Membership'!W42,0)</f>
        <v>75</v>
      </c>
      <c r="L39" s="22">
        <f t="shared" si="9"/>
        <v>0</v>
      </c>
      <c r="M39" s="134">
        <f t="shared" si="10"/>
        <v>0</v>
      </c>
      <c r="N39" s="22">
        <v>186075.0726988179</v>
      </c>
      <c r="O39" s="22">
        <f>ROUND(D39*'Table 8 Membership'!Y42*-1,0)</f>
        <v>0</v>
      </c>
      <c r="P39" s="310">
        <f t="shared" si="16"/>
        <v>585313.5870988196</v>
      </c>
      <c r="Q39" s="686">
        <v>437.96142861247074</v>
      </c>
      <c r="R39" s="324">
        <f t="shared" si="11"/>
        <v>1181.65</v>
      </c>
      <c r="S39" s="22">
        <f t="shared" si="17"/>
        <v>435077</v>
      </c>
      <c r="T39" s="22">
        <f>IF(S39&gt;0,'Table 3 Levels 1&amp;2'!C42,0)</f>
        <v>5171</v>
      </c>
      <c r="U39" s="134">
        <f>ROUND(S39/'Table 3 Levels 1&amp;2'!C42,0)</f>
        <v>84</v>
      </c>
      <c r="V39" s="134">
        <f t="shared" si="12"/>
        <v>1</v>
      </c>
      <c r="W39" s="22">
        <f t="shared" si="18"/>
        <v>0</v>
      </c>
      <c r="X39" s="687">
        <v>0</v>
      </c>
      <c r="Y39" s="687">
        <f>'[2]Sheet1'!C37</f>
        <v>0</v>
      </c>
      <c r="Z39" s="134">
        <f t="shared" si="13"/>
        <v>0</v>
      </c>
      <c r="AA39" s="22">
        <f t="shared" si="14"/>
        <v>0</v>
      </c>
      <c r="AB39" s="308">
        <v>0</v>
      </c>
      <c r="AC39" s="308">
        <v>0</v>
      </c>
      <c r="AD39" s="308">
        <f>IF(ROUND(AB39*'Table 3 Levels 1&amp;2'!C42,0)&gt;'Table 4 Level 3'!AC39,AC39,ROUND(AB39*'Table 3 Levels 1&amp;2'!C42,0))</f>
        <v>0</v>
      </c>
      <c r="AE39" s="308">
        <f t="shared" si="19"/>
        <v>435077</v>
      </c>
    </row>
    <row r="40" spans="1:31" ht="12.75">
      <c r="A40" s="661">
        <v>35</v>
      </c>
      <c r="B40" s="661" t="s">
        <v>176</v>
      </c>
      <c r="C40" s="24">
        <f>'Table 3 Levels 1&amp;2'!AN43</f>
        <v>23684731</v>
      </c>
      <c r="D40" s="24">
        <f>ROUND(C40/'Table 3 Levels 1&amp;2'!C43,2)</f>
        <v>3550.4</v>
      </c>
      <c r="E40" s="688">
        <f t="shared" si="5"/>
        <v>38</v>
      </c>
      <c r="F40" s="24">
        <v>23075337.9709</v>
      </c>
      <c r="G40" s="689">
        <f t="shared" si="6"/>
        <v>0</v>
      </c>
      <c r="H40" s="434">
        <f t="shared" si="7"/>
        <v>23075337.9709</v>
      </c>
      <c r="I40" s="24">
        <f t="shared" si="15"/>
        <v>609393.0291000009</v>
      </c>
      <c r="J40" s="369">
        <f t="shared" si="8"/>
        <v>609393.0291000009</v>
      </c>
      <c r="K40" s="369">
        <f>ROUND(J40/'Table 8 Membership'!W43,0)</f>
        <v>90</v>
      </c>
      <c r="L40" s="369">
        <f t="shared" si="9"/>
        <v>0</v>
      </c>
      <c r="M40" s="309">
        <f t="shared" si="10"/>
        <v>0</v>
      </c>
      <c r="N40" s="369">
        <v>231561.9502883261</v>
      </c>
      <c r="O40" s="369">
        <f>ROUND(D40*'Table 8 Membership'!Y43*-1,0)</f>
        <v>0</v>
      </c>
      <c r="P40" s="690">
        <f t="shared" si="16"/>
        <v>840954.979388327</v>
      </c>
      <c r="Q40" s="691">
        <v>542.6666666865349</v>
      </c>
      <c r="R40" s="692">
        <f t="shared" si="11"/>
        <v>1370.18</v>
      </c>
      <c r="S40" s="369">
        <f t="shared" si="17"/>
        <v>423381</v>
      </c>
      <c r="T40" s="369">
        <f>IF(S40&gt;0,'Table 3 Levels 1&amp;2'!C43,0)</f>
        <v>6671</v>
      </c>
      <c r="U40" s="309">
        <f>ROUND(S40/'Table 3 Levels 1&amp;2'!C43,0)</f>
        <v>63</v>
      </c>
      <c r="V40" s="309">
        <f t="shared" si="12"/>
        <v>1</v>
      </c>
      <c r="W40" s="369">
        <f t="shared" si="18"/>
        <v>0</v>
      </c>
      <c r="X40" s="693">
        <v>0</v>
      </c>
      <c r="Y40" s="694">
        <f>'[2]Sheet1'!C38</f>
        <v>0</v>
      </c>
      <c r="Z40" s="309">
        <f t="shared" si="13"/>
        <v>0</v>
      </c>
      <c r="AA40" s="369">
        <f t="shared" si="14"/>
        <v>0</v>
      </c>
      <c r="AB40" s="695">
        <v>0</v>
      </c>
      <c r="AC40" s="695">
        <v>0</v>
      </c>
      <c r="AD40" s="695">
        <f>IF(ROUND(AB40*'Table 3 Levels 1&amp;2'!C43,0)&gt;'Table 4 Level 3'!AC40,AC40,ROUND(AB40*'Table 3 Levels 1&amp;2'!C43,0))</f>
        <v>0</v>
      </c>
      <c r="AE40" s="695">
        <f t="shared" si="19"/>
        <v>423381</v>
      </c>
    </row>
    <row r="41" spans="1:31" ht="12.75">
      <c r="A41" s="660">
        <v>36</v>
      </c>
      <c r="B41" s="660" t="s">
        <v>177</v>
      </c>
      <c r="C41" s="23">
        <f>'Table 3 Levels 1&amp;2'!AN44</f>
        <v>213130208</v>
      </c>
      <c r="D41" s="23">
        <f>ROUND(C41/'Table 3 Levels 1&amp;2'!C44,2)</f>
        <v>2990.8</v>
      </c>
      <c r="E41" s="684">
        <f t="shared" si="5"/>
        <v>53</v>
      </c>
      <c r="F41" s="23">
        <v>220747301.8642</v>
      </c>
      <c r="G41" s="685">
        <f t="shared" si="6"/>
        <v>421200</v>
      </c>
      <c r="H41" s="23">
        <f t="shared" si="7"/>
        <v>220326101.8642</v>
      </c>
      <c r="I41" s="23">
        <f t="shared" si="15"/>
        <v>-7195893.864199996</v>
      </c>
      <c r="J41" s="22">
        <f t="shared" si="8"/>
        <v>0</v>
      </c>
      <c r="K41" s="22">
        <f>ROUND(J41/'Table 8 Membership'!W44,0)</f>
        <v>0</v>
      </c>
      <c r="L41" s="22">
        <f t="shared" si="9"/>
        <v>-7195893.864199996</v>
      </c>
      <c r="M41" s="134">
        <f t="shared" si="10"/>
        <v>1</v>
      </c>
      <c r="N41" s="22">
        <v>2215198.9074451784</v>
      </c>
      <c r="O41" s="22">
        <f>ROUND(D41*'Table 8 Membership'!Y44*-1,0)</f>
        <v>0</v>
      </c>
      <c r="P41" s="310">
        <f t="shared" si="16"/>
        <v>2215198.9074451784</v>
      </c>
      <c r="Q41" s="686">
        <v>5446</v>
      </c>
      <c r="R41" s="324">
        <f t="shared" si="11"/>
        <v>359.64</v>
      </c>
      <c r="S41" s="22">
        <f t="shared" si="17"/>
        <v>10473242</v>
      </c>
      <c r="T41" s="22">
        <f>IF(S41&gt;0,'Table 3 Levels 1&amp;2'!C44,0)</f>
        <v>71262</v>
      </c>
      <c r="U41" s="134">
        <f>ROUND(S41/'Table 3 Levels 1&amp;2'!C44,0)</f>
        <v>147</v>
      </c>
      <c r="V41" s="134">
        <f t="shared" si="12"/>
        <v>1</v>
      </c>
      <c r="W41" s="22">
        <f t="shared" si="18"/>
        <v>0</v>
      </c>
      <c r="X41" s="687">
        <v>26</v>
      </c>
      <c r="Y41" s="687">
        <f>'[2]Sheet1'!C39</f>
        <v>39</v>
      </c>
      <c r="Z41" s="134">
        <f t="shared" si="13"/>
        <v>13</v>
      </c>
      <c r="AA41" s="22">
        <f>ROUND($AA$4*Y41,0)-1</f>
        <v>601925</v>
      </c>
      <c r="AB41" s="308">
        <v>0</v>
      </c>
      <c r="AC41" s="308">
        <v>0</v>
      </c>
      <c r="AD41" s="308">
        <f>IF(ROUND(AB41*'Table 3 Levels 1&amp;2'!C44,0)&gt;'Table 4 Level 3'!AC41,AC41,ROUND(AB41*'Table 3 Levels 1&amp;2'!C44,0))</f>
        <v>0</v>
      </c>
      <c r="AE41" s="308">
        <f t="shared" si="19"/>
        <v>11075167</v>
      </c>
    </row>
    <row r="42" spans="1:31" ht="12.75">
      <c r="A42" s="660">
        <v>37</v>
      </c>
      <c r="B42" s="660" t="s">
        <v>178</v>
      </c>
      <c r="C42" s="23">
        <f>'Table 3 Levels 1&amp;2'!AN45</f>
        <v>69347325</v>
      </c>
      <c r="D42" s="23">
        <f>ROUND(C42/'Table 3 Levels 1&amp;2'!C45,2)</f>
        <v>3930.14</v>
      </c>
      <c r="E42" s="684">
        <f t="shared" si="5"/>
        <v>20</v>
      </c>
      <c r="F42" s="23">
        <v>64885827.8719</v>
      </c>
      <c r="G42" s="685">
        <f t="shared" si="6"/>
        <v>97200</v>
      </c>
      <c r="H42" s="23">
        <f t="shared" si="7"/>
        <v>64788627.8719</v>
      </c>
      <c r="I42" s="23">
        <f t="shared" si="15"/>
        <v>4558697.1281</v>
      </c>
      <c r="J42" s="22">
        <f t="shared" si="8"/>
        <v>4558697.1281</v>
      </c>
      <c r="K42" s="22">
        <f>ROUND(J42/'Table 8 Membership'!W45,0)</f>
        <v>263</v>
      </c>
      <c r="L42" s="22">
        <f t="shared" si="9"/>
        <v>0</v>
      </c>
      <c r="M42" s="134">
        <f t="shared" si="10"/>
        <v>0</v>
      </c>
      <c r="N42" s="22">
        <v>651143.2686401284</v>
      </c>
      <c r="O42" s="22">
        <f>ROUND(D42*'Table 8 Membership'!Y45*-1,0)</f>
        <v>-1202623</v>
      </c>
      <c r="P42" s="310">
        <f t="shared" si="16"/>
        <v>4007217.396740129</v>
      </c>
      <c r="Q42" s="686">
        <v>1411.1728571355347</v>
      </c>
      <c r="R42" s="324">
        <f t="shared" si="11"/>
        <v>2510.73</v>
      </c>
      <c r="S42" s="22">
        <f t="shared" si="17"/>
        <v>0</v>
      </c>
      <c r="T42" s="22">
        <f>IF(S42&gt;0,'Table 3 Levels 1&amp;2'!C45,0)</f>
        <v>0</v>
      </c>
      <c r="U42" s="134">
        <f>ROUND(S42/'Table 3 Levels 1&amp;2'!C45,0)</f>
        <v>0</v>
      </c>
      <c r="V42" s="134">
        <f t="shared" si="12"/>
        <v>0</v>
      </c>
      <c r="W42" s="22">
        <f t="shared" si="18"/>
        <v>-719382</v>
      </c>
      <c r="X42" s="687">
        <v>6</v>
      </c>
      <c r="Y42" s="687">
        <f>'[2]Sheet1'!C40</f>
        <v>7</v>
      </c>
      <c r="Z42" s="134">
        <f t="shared" si="13"/>
        <v>1</v>
      </c>
      <c r="AA42" s="22">
        <f>ROUND($AA$4*Y42,0)+2</f>
        <v>108040</v>
      </c>
      <c r="AB42" s="308">
        <v>0</v>
      </c>
      <c r="AC42" s="308">
        <v>0</v>
      </c>
      <c r="AD42" s="308">
        <f>IF(ROUND(AB42*'Table 3 Levels 1&amp;2'!C45,0)&gt;'Table 4 Level 3'!AC42,AC42,ROUND(AB42*'Table 3 Levels 1&amp;2'!C45,0))</f>
        <v>0</v>
      </c>
      <c r="AE42" s="308">
        <f t="shared" si="19"/>
        <v>-611342</v>
      </c>
    </row>
    <row r="43" spans="1:31" ht="12.75">
      <c r="A43" s="660">
        <v>38</v>
      </c>
      <c r="B43" s="660" t="s">
        <v>179</v>
      </c>
      <c r="C43" s="23">
        <f>'Table 3 Levels 1&amp;2'!AN46</f>
        <v>3185065</v>
      </c>
      <c r="D43" s="23">
        <f>ROUND(C43/'Table 3 Levels 1&amp;2'!C46,2)</f>
        <v>674.8</v>
      </c>
      <c r="E43" s="684">
        <f t="shared" si="5"/>
        <v>65</v>
      </c>
      <c r="F43" s="23">
        <v>2823863.9745</v>
      </c>
      <c r="G43" s="685">
        <f t="shared" si="6"/>
        <v>64800</v>
      </c>
      <c r="H43" s="23">
        <f t="shared" si="7"/>
        <v>2759063.9745</v>
      </c>
      <c r="I43" s="23">
        <f t="shared" si="15"/>
        <v>426001.0255</v>
      </c>
      <c r="J43" s="22">
        <f t="shared" si="8"/>
        <v>426001.0255</v>
      </c>
      <c r="K43" s="22">
        <f>ROUND(J43/'Table 8 Membership'!W46,0)</f>
        <v>89</v>
      </c>
      <c r="L43" s="22">
        <f t="shared" si="9"/>
        <v>0</v>
      </c>
      <c r="M43" s="134">
        <f t="shared" si="10"/>
        <v>0</v>
      </c>
      <c r="N43" s="22">
        <v>100472.29437449852</v>
      </c>
      <c r="O43" s="22">
        <f>ROUND(D43*'Table 8 Membership'!Y46*-1,0)</f>
        <v>0</v>
      </c>
      <c r="P43" s="310">
        <f t="shared" si="16"/>
        <v>526473.3198744985</v>
      </c>
      <c r="Q43" s="686">
        <v>382.3533333539968</v>
      </c>
      <c r="R43" s="324">
        <f t="shared" si="11"/>
        <v>1217.44</v>
      </c>
      <c r="S43" s="22">
        <f t="shared" si="17"/>
        <v>364358</v>
      </c>
      <c r="T43" s="22">
        <f>IF(S43&gt;0,'Table 3 Levels 1&amp;2'!C46,0)</f>
        <v>4720</v>
      </c>
      <c r="U43" s="134">
        <f>ROUND(S43/'Table 3 Levels 1&amp;2'!C46,0)</f>
        <v>77</v>
      </c>
      <c r="V43" s="134">
        <f t="shared" si="12"/>
        <v>1</v>
      </c>
      <c r="W43" s="22">
        <f t="shared" si="18"/>
        <v>0</v>
      </c>
      <c r="X43" s="687">
        <v>4</v>
      </c>
      <c r="Y43" s="687">
        <f>'[2]Sheet1'!C41</f>
        <v>3</v>
      </c>
      <c r="Z43" s="134">
        <f t="shared" si="13"/>
        <v>-1</v>
      </c>
      <c r="AA43" s="22">
        <f>ROUND($AA$4*Y43,0)+3</f>
        <v>46305</v>
      </c>
      <c r="AB43" s="308">
        <v>1497</v>
      </c>
      <c r="AC43" s="308">
        <v>7145206</v>
      </c>
      <c r="AD43" s="308">
        <f>IF(ROUND(AB43*'Table 3 Levels 1&amp;2'!C46,0)&gt;'Table 4 Level 3'!AC43,AC43,ROUND(AB43*'Table 3 Levels 1&amp;2'!C46,0))</f>
        <v>7065840</v>
      </c>
      <c r="AE43" s="308">
        <f t="shared" si="19"/>
        <v>7476503</v>
      </c>
    </row>
    <row r="44" spans="1:31" ht="12.75">
      <c r="A44" s="660">
        <v>39</v>
      </c>
      <c r="B44" s="660" t="s">
        <v>180</v>
      </c>
      <c r="C44" s="23">
        <f>'Table 3 Levels 1&amp;2'!AN47</f>
        <v>8289264</v>
      </c>
      <c r="D44" s="23">
        <f>ROUND(C44/'Table 3 Levels 1&amp;2'!C47,2)</f>
        <v>2612.44</v>
      </c>
      <c r="E44" s="684">
        <f t="shared" si="5"/>
        <v>57</v>
      </c>
      <c r="F44" s="23">
        <v>8237923.708</v>
      </c>
      <c r="G44" s="685">
        <f t="shared" si="6"/>
        <v>64800</v>
      </c>
      <c r="H44" s="23">
        <f t="shared" si="7"/>
        <v>8173123.708</v>
      </c>
      <c r="I44" s="23">
        <f t="shared" si="15"/>
        <v>116140.29200000037</v>
      </c>
      <c r="J44" s="22">
        <f t="shared" si="8"/>
        <v>116140.29200000037</v>
      </c>
      <c r="K44" s="22">
        <f>ROUND(J44/'Table 8 Membership'!W47,0)</f>
        <v>36</v>
      </c>
      <c r="L44" s="22">
        <f t="shared" si="9"/>
        <v>0</v>
      </c>
      <c r="M44" s="134">
        <f t="shared" si="10"/>
        <v>0</v>
      </c>
      <c r="N44" s="22">
        <v>86978.83005859413</v>
      </c>
      <c r="O44" s="22">
        <f>ROUND(D44*'Table 8 Membership'!Y47*-1,0)</f>
        <v>0</v>
      </c>
      <c r="P44" s="310">
        <f t="shared" si="16"/>
        <v>203119.12205859448</v>
      </c>
      <c r="Q44" s="686">
        <v>258.933333337307</v>
      </c>
      <c r="R44" s="324">
        <f t="shared" si="11"/>
        <v>693.59</v>
      </c>
      <c r="S44" s="22">
        <f t="shared" si="17"/>
        <v>400158</v>
      </c>
      <c r="T44" s="22">
        <f>IF(S44&gt;0,'Table 3 Levels 1&amp;2'!C47,0)</f>
        <v>3173</v>
      </c>
      <c r="U44" s="134">
        <f>ROUND(S44/'Table 3 Levels 1&amp;2'!C47,0)</f>
        <v>126</v>
      </c>
      <c r="V44" s="134">
        <f t="shared" si="12"/>
        <v>1</v>
      </c>
      <c r="W44" s="22">
        <f t="shared" si="18"/>
        <v>0</v>
      </c>
      <c r="X44" s="687">
        <v>4</v>
      </c>
      <c r="Y44" s="687">
        <f>'[2]Sheet1'!C42</f>
        <v>4</v>
      </c>
      <c r="Z44" s="134">
        <f t="shared" si="13"/>
        <v>0</v>
      </c>
      <c r="AA44" s="22">
        <f>ROUND($AA$4*Y44,0)+4</f>
        <v>61740</v>
      </c>
      <c r="AB44" s="308">
        <v>112</v>
      </c>
      <c r="AC44" s="308">
        <v>372315</v>
      </c>
      <c r="AD44" s="308">
        <f>IF(ROUND(AB44*'Table 3 Levels 1&amp;2'!C47,0)&gt;'Table 4 Level 3'!AC44,AC44,ROUND(AB44*'Table 3 Levels 1&amp;2'!C47,0))</f>
        <v>355376</v>
      </c>
      <c r="AE44" s="308">
        <f t="shared" si="19"/>
        <v>817274</v>
      </c>
    </row>
    <row r="45" spans="1:31" ht="12.75">
      <c r="A45" s="661">
        <v>40</v>
      </c>
      <c r="B45" s="661" t="s">
        <v>181</v>
      </c>
      <c r="C45" s="24">
        <f>'Table 3 Levels 1&amp;2'!AN48</f>
        <v>75888554</v>
      </c>
      <c r="D45" s="24">
        <f>ROUND(C45/'Table 3 Levels 1&amp;2'!C48,2)</f>
        <v>3359.09</v>
      </c>
      <c r="E45" s="688">
        <f t="shared" si="5"/>
        <v>47</v>
      </c>
      <c r="F45" s="24">
        <v>76432919.2206</v>
      </c>
      <c r="G45" s="689">
        <f t="shared" si="6"/>
        <v>48600</v>
      </c>
      <c r="H45" s="434">
        <f t="shared" si="7"/>
        <v>76384319.2206</v>
      </c>
      <c r="I45" s="24">
        <f t="shared" si="15"/>
        <v>-495765.22059999406</v>
      </c>
      <c r="J45" s="369">
        <f t="shared" si="8"/>
        <v>0</v>
      </c>
      <c r="K45" s="369">
        <f>ROUND(J45/'Table 8 Membership'!W48,0)</f>
        <v>0</v>
      </c>
      <c r="L45" s="369">
        <f t="shared" si="9"/>
        <v>-495765.22059999406</v>
      </c>
      <c r="M45" s="309">
        <f t="shared" si="10"/>
        <v>1</v>
      </c>
      <c r="N45" s="369">
        <v>767001.7297914354</v>
      </c>
      <c r="O45" s="369">
        <f>ROUND(D45*'Table 8 Membership'!Y48*-1,0)</f>
        <v>0</v>
      </c>
      <c r="P45" s="690">
        <f t="shared" si="16"/>
        <v>767001.7297914354</v>
      </c>
      <c r="Q45" s="691">
        <v>1921.8000000715256</v>
      </c>
      <c r="R45" s="692">
        <f t="shared" si="11"/>
        <v>352.88</v>
      </c>
      <c r="S45" s="369">
        <f t="shared" si="17"/>
        <v>3710521</v>
      </c>
      <c r="T45" s="369">
        <f>IF(S45&gt;0,'Table 3 Levels 1&amp;2'!C48,0)</f>
        <v>22592</v>
      </c>
      <c r="U45" s="309">
        <f>ROUND(S45/'Table 3 Levels 1&amp;2'!C48,0)</f>
        <v>164</v>
      </c>
      <c r="V45" s="309">
        <f t="shared" si="12"/>
        <v>1</v>
      </c>
      <c r="W45" s="369">
        <f t="shared" si="18"/>
        <v>0</v>
      </c>
      <c r="X45" s="693">
        <v>3</v>
      </c>
      <c r="Y45" s="694">
        <f>'[2]Sheet1'!C43</f>
        <v>3</v>
      </c>
      <c r="Z45" s="309">
        <f t="shared" si="13"/>
        <v>0</v>
      </c>
      <c r="AA45" s="369">
        <f>ROUND($AA$4*Y45,0)+3</f>
        <v>46305</v>
      </c>
      <c r="AB45" s="695">
        <v>0</v>
      </c>
      <c r="AC45" s="695">
        <v>0</v>
      </c>
      <c r="AD45" s="695">
        <f>IF(ROUND(AB45*'Table 3 Levels 1&amp;2'!C48,0)&gt;'Table 4 Level 3'!AC45,AC45,ROUND(AB45*'Table 3 Levels 1&amp;2'!C48,0))</f>
        <v>0</v>
      </c>
      <c r="AE45" s="695">
        <f t="shared" si="19"/>
        <v>3756826</v>
      </c>
    </row>
    <row r="46" spans="1:31" ht="12.75">
      <c r="A46" s="660">
        <v>41</v>
      </c>
      <c r="B46" s="660" t="s">
        <v>182</v>
      </c>
      <c r="C46" s="23">
        <f>'Table 3 Levels 1&amp;2'!AN49</f>
        <v>8337962</v>
      </c>
      <c r="D46" s="23">
        <f>ROUND(C46/'Table 3 Levels 1&amp;2'!C49,2)</f>
        <v>5056.37</v>
      </c>
      <c r="E46" s="684">
        <f t="shared" si="5"/>
        <v>1</v>
      </c>
      <c r="F46" s="23">
        <v>8665559.012</v>
      </c>
      <c r="G46" s="685">
        <f t="shared" si="6"/>
        <v>0</v>
      </c>
      <c r="H46" s="23">
        <f t="shared" si="7"/>
        <v>8665559.012</v>
      </c>
      <c r="I46" s="23">
        <f t="shared" si="15"/>
        <v>-327597.0120000001</v>
      </c>
      <c r="J46" s="22">
        <f t="shared" si="8"/>
        <v>0</v>
      </c>
      <c r="K46" s="22">
        <f>ROUND(J46/'Table 8 Membership'!W49,0)</f>
        <v>0</v>
      </c>
      <c r="L46" s="22">
        <f t="shared" si="9"/>
        <v>-327597.0120000001</v>
      </c>
      <c r="M46" s="134">
        <f t="shared" si="10"/>
        <v>1</v>
      </c>
      <c r="N46" s="22">
        <v>86958.91501164522</v>
      </c>
      <c r="O46" s="22">
        <f>ROUND(D46*'Table 8 Membership'!Y49*-1,0)</f>
        <v>0</v>
      </c>
      <c r="P46" s="310">
        <f t="shared" si="16"/>
        <v>86958.91501164522</v>
      </c>
      <c r="Q46" s="686">
        <v>181.8333333134651</v>
      </c>
      <c r="R46" s="324">
        <f t="shared" si="11"/>
        <v>422.84</v>
      </c>
      <c r="S46" s="22">
        <f t="shared" si="17"/>
        <v>336688</v>
      </c>
      <c r="T46" s="22">
        <f>IF(S46&gt;0,'Table 3 Levels 1&amp;2'!C49,0)</f>
        <v>1649</v>
      </c>
      <c r="U46" s="134">
        <f>ROUND(S46/'Table 3 Levels 1&amp;2'!C49,0)</f>
        <v>204</v>
      </c>
      <c r="V46" s="134">
        <f t="shared" si="12"/>
        <v>1</v>
      </c>
      <c r="W46" s="22">
        <f t="shared" si="18"/>
        <v>0</v>
      </c>
      <c r="X46" s="687">
        <v>0</v>
      </c>
      <c r="Y46" s="687">
        <f>'[2]Sheet1'!C44</f>
        <v>0</v>
      </c>
      <c r="Z46" s="134">
        <f t="shared" si="13"/>
        <v>0</v>
      </c>
      <c r="AA46" s="22">
        <f t="shared" si="14"/>
        <v>0</v>
      </c>
      <c r="AB46" s="308">
        <v>0</v>
      </c>
      <c r="AC46" s="308">
        <v>0</v>
      </c>
      <c r="AD46" s="308">
        <f>IF(ROUND(AB46*'Table 3 Levels 1&amp;2'!C49,0)&gt;'Table 4 Level 3'!AC46,AC46,ROUND(AB46*'Table 3 Levels 1&amp;2'!C49,0))</f>
        <v>0</v>
      </c>
      <c r="AE46" s="308">
        <f t="shared" si="19"/>
        <v>336688</v>
      </c>
    </row>
    <row r="47" spans="1:31" ht="12.75">
      <c r="A47" s="660">
        <v>42</v>
      </c>
      <c r="B47" s="660" t="s">
        <v>183</v>
      </c>
      <c r="C47" s="23">
        <f>'Table 3 Levels 1&amp;2'!AN50</f>
        <v>14947382</v>
      </c>
      <c r="D47" s="23">
        <f>ROUND(C47/'Table 3 Levels 1&amp;2'!C50,2)</f>
        <v>4186.94</v>
      </c>
      <c r="E47" s="684">
        <f t="shared" si="5"/>
        <v>11</v>
      </c>
      <c r="F47" s="23">
        <v>14451115.756</v>
      </c>
      <c r="G47" s="685">
        <f t="shared" si="6"/>
        <v>48600</v>
      </c>
      <c r="H47" s="23">
        <f t="shared" si="7"/>
        <v>14402515.756</v>
      </c>
      <c r="I47" s="23">
        <f t="shared" si="15"/>
        <v>544866.2440000009</v>
      </c>
      <c r="J47" s="22">
        <f t="shared" si="8"/>
        <v>544866.2440000009</v>
      </c>
      <c r="K47" s="22">
        <f>ROUND(J47/'Table 8 Membership'!W50,0)</f>
        <v>145</v>
      </c>
      <c r="L47" s="22">
        <f t="shared" si="9"/>
        <v>0</v>
      </c>
      <c r="M47" s="134">
        <f t="shared" si="10"/>
        <v>0</v>
      </c>
      <c r="N47" s="22">
        <v>145019.75873534157</v>
      </c>
      <c r="O47" s="22">
        <f>ROUND(D47*'Table 8 Membership'!Y50*-1,0)</f>
        <v>0</v>
      </c>
      <c r="P47" s="310">
        <f t="shared" si="16"/>
        <v>689886.0027353425</v>
      </c>
      <c r="Q47" s="686">
        <v>306.6666666865349</v>
      </c>
      <c r="R47" s="324">
        <f t="shared" si="11"/>
        <v>1989.06</v>
      </c>
      <c r="S47" s="22">
        <f t="shared" si="17"/>
        <v>24605</v>
      </c>
      <c r="T47" s="22">
        <f>IF(S47&gt;0,'Table 3 Levels 1&amp;2'!C50,0)</f>
        <v>3570</v>
      </c>
      <c r="U47" s="134">
        <f>ROUND(S47/'Table 3 Levels 1&amp;2'!C50,0)</f>
        <v>7</v>
      </c>
      <c r="V47" s="134">
        <f t="shared" si="12"/>
        <v>1</v>
      </c>
      <c r="W47" s="22">
        <f t="shared" si="18"/>
        <v>0</v>
      </c>
      <c r="X47" s="687">
        <v>3</v>
      </c>
      <c r="Y47" s="687">
        <f>'[2]Sheet1'!C45</f>
        <v>0</v>
      </c>
      <c r="Z47" s="134">
        <f t="shared" si="13"/>
        <v>-3</v>
      </c>
      <c r="AA47" s="22">
        <f t="shared" si="14"/>
        <v>0</v>
      </c>
      <c r="AB47" s="308">
        <v>0</v>
      </c>
      <c r="AC47" s="308">
        <v>0</v>
      </c>
      <c r="AD47" s="308">
        <f>IF(ROUND(AB47*'Table 3 Levels 1&amp;2'!C50,0)&gt;'Table 4 Level 3'!AC47,AC47,ROUND(AB47*'Table 3 Levels 1&amp;2'!C50,0))</f>
        <v>0</v>
      </c>
      <c r="AE47" s="308">
        <f t="shared" si="19"/>
        <v>24605</v>
      </c>
    </row>
    <row r="48" spans="1:31" ht="12.75">
      <c r="A48" s="660">
        <v>43</v>
      </c>
      <c r="B48" s="660" t="s">
        <v>184</v>
      </c>
      <c r="C48" s="23">
        <f>'Table 3 Levels 1&amp;2'!AN51</f>
        <v>16986299</v>
      </c>
      <c r="D48" s="23">
        <f>ROUND(C48/'Table 3 Levels 1&amp;2'!C51,2)</f>
        <v>4081.28</v>
      </c>
      <c r="E48" s="684">
        <f t="shared" si="5"/>
        <v>14</v>
      </c>
      <c r="F48" s="23">
        <v>15471480.6091</v>
      </c>
      <c r="G48" s="685">
        <f t="shared" si="6"/>
        <v>0</v>
      </c>
      <c r="H48" s="23">
        <f t="shared" si="7"/>
        <v>15471480.6091</v>
      </c>
      <c r="I48" s="23">
        <f t="shared" si="15"/>
        <v>1514818.390900001</v>
      </c>
      <c r="J48" s="22">
        <f t="shared" si="8"/>
        <v>1514818.390900001</v>
      </c>
      <c r="K48" s="22">
        <f>ROUND(J48/'Table 8 Membership'!W51,0)</f>
        <v>356</v>
      </c>
      <c r="L48" s="22">
        <f t="shared" si="9"/>
        <v>0</v>
      </c>
      <c r="M48" s="134">
        <f t="shared" si="10"/>
        <v>0</v>
      </c>
      <c r="N48" s="22">
        <v>155258.5134279108</v>
      </c>
      <c r="O48" s="22">
        <f>ROUND(D48*'Table 8 Membership'!Y51*-1,0)</f>
        <v>0</v>
      </c>
      <c r="P48" s="310">
        <f t="shared" si="16"/>
        <v>1670076.9043279118</v>
      </c>
      <c r="Q48" s="686">
        <v>365.5166666507721</v>
      </c>
      <c r="R48" s="324">
        <f t="shared" si="11"/>
        <v>4039.86</v>
      </c>
      <c r="S48" s="22">
        <f t="shared" si="17"/>
        <v>0</v>
      </c>
      <c r="T48" s="22">
        <f>IF(S48&gt;0,'Table 3 Levels 1&amp;2'!C51,0)</f>
        <v>0</v>
      </c>
      <c r="U48" s="134">
        <f>ROUND(S48/'Table 3 Levels 1&amp;2'!C51,0)</f>
        <v>0</v>
      </c>
      <c r="V48" s="134">
        <f t="shared" si="12"/>
        <v>0</v>
      </c>
      <c r="W48" s="22">
        <f t="shared" si="18"/>
        <v>-818473</v>
      </c>
      <c r="X48" s="687">
        <v>0</v>
      </c>
      <c r="Y48" s="687">
        <f>'[2]Sheet1'!C46</f>
        <v>0</v>
      </c>
      <c r="Z48" s="134">
        <f t="shared" si="13"/>
        <v>0</v>
      </c>
      <c r="AA48" s="22">
        <f t="shared" si="14"/>
        <v>0</v>
      </c>
      <c r="AB48" s="308">
        <v>0</v>
      </c>
      <c r="AC48" s="308">
        <v>0</v>
      </c>
      <c r="AD48" s="308">
        <f>IF(ROUND(AB48*'Table 3 Levels 1&amp;2'!C51,0)&gt;'Table 4 Level 3'!AC48,AC48,ROUND(AB48*'Table 3 Levels 1&amp;2'!C51,0))</f>
        <v>0</v>
      </c>
      <c r="AE48" s="308">
        <f t="shared" si="19"/>
        <v>-818473</v>
      </c>
    </row>
    <row r="49" spans="1:31" ht="12.75">
      <c r="A49" s="660">
        <v>44</v>
      </c>
      <c r="B49" s="660" t="s">
        <v>185</v>
      </c>
      <c r="C49" s="23">
        <f>'Table 3 Levels 1&amp;2'!AN52</f>
        <v>28274983</v>
      </c>
      <c r="D49" s="23">
        <f>ROUND(C49/'Table 3 Levels 1&amp;2'!C52,2)</f>
        <v>3361.27</v>
      </c>
      <c r="E49" s="684">
        <f t="shared" si="5"/>
        <v>46</v>
      </c>
      <c r="F49" s="23">
        <v>24966966.5021</v>
      </c>
      <c r="G49" s="685">
        <f t="shared" si="6"/>
        <v>16200</v>
      </c>
      <c r="H49" s="23">
        <f t="shared" si="7"/>
        <v>24950766.5021</v>
      </c>
      <c r="I49" s="23">
        <f t="shared" si="15"/>
        <v>3324216.4979000017</v>
      </c>
      <c r="J49" s="22">
        <f t="shared" si="8"/>
        <v>3324216.4979000017</v>
      </c>
      <c r="K49" s="22">
        <f>ROUND(J49/'Table 8 Membership'!W52,0)</f>
        <v>392</v>
      </c>
      <c r="L49" s="22">
        <f t="shared" si="9"/>
        <v>0</v>
      </c>
      <c r="M49" s="134">
        <f t="shared" si="10"/>
        <v>0</v>
      </c>
      <c r="N49" s="22">
        <v>250544.26472643754</v>
      </c>
      <c r="O49" s="22">
        <f>ROUND(D49*'Table 8 Membership'!Y52*-1,0)</f>
        <v>0</v>
      </c>
      <c r="P49" s="310">
        <f t="shared" si="16"/>
        <v>3574760.7626264393</v>
      </c>
      <c r="Q49" s="686">
        <v>722.6685714721676</v>
      </c>
      <c r="R49" s="324">
        <f t="shared" si="11"/>
        <v>4373.66</v>
      </c>
      <c r="S49" s="22">
        <f t="shared" si="17"/>
        <v>0</v>
      </c>
      <c r="T49" s="22">
        <f>IF(S49&gt;0,'Table 3 Levels 1&amp;2'!C52,0)</f>
        <v>0</v>
      </c>
      <c r="U49" s="134">
        <f>ROUND(S49/'Table 3 Levels 1&amp;2'!C52,0)</f>
        <v>0</v>
      </c>
      <c r="V49" s="134">
        <f t="shared" si="12"/>
        <v>0</v>
      </c>
      <c r="W49" s="22">
        <f t="shared" si="18"/>
        <v>-1891043</v>
      </c>
      <c r="X49" s="687">
        <v>1</v>
      </c>
      <c r="Y49" s="687">
        <f>'[2]Sheet1'!C47</f>
        <v>1</v>
      </c>
      <c r="Z49" s="134">
        <f t="shared" si="13"/>
        <v>0</v>
      </c>
      <c r="AA49" s="22">
        <f t="shared" si="14"/>
        <v>15434</v>
      </c>
      <c r="AB49" s="308">
        <v>0</v>
      </c>
      <c r="AC49" s="308">
        <v>0</v>
      </c>
      <c r="AD49" s="308">
        <f>IF(ROUND(AB49*'Table 3 Levels 1&amp;2'!C52,0)&gt;'Table 4 Level 3'!AC49,AC49,ROUND(AB49*'Table 3 Levels 1&amp;2'!C52,0))</f>
        <v>0</v>
      </c>
      <c r="AE49" s="308">
        <f t="shared" si="19"/>
        <v>-1875609</v>
      </c>
    </row>
    <row r="50" spans="1:31" ht="12.75">
      <c r="A50" s="661">
        <v>45</v>
      </c>
      <c r="B50" s="661" t="s">
        <v>186</v>
      </c>
      <c r="C50" s="24">
        <f>'Table 3 Levels 1&amp;2'!AN53</f>
        <v>13975563</v>
      </c>
      <c r="D50" s="24">
        <f>ROUND(C50/'Table 3 Levels 1&amp;2'!C53,2)</f>
        <v>1448.85</v>
      </c>
      <c r="E50" s="688">
        <f t="shared" si="5"/>
        <v>64</v>
      </c>
      <c r="F50" s="24">
        <v>12071639.3146</v>
      </c>
      <c r="G50" s="689">
        <f t="shared" si="6"/>
        <v>81000</v>
      </c>
      <c r="H50" s="434">
        <f t="shared" si="7"/>
        <v>11990639.3146</v>
      </c>
      <c r="I50" s="24">
        <f t="shared" si="15"/>
        <v>1984923.6853999998</v>
      </c>
      <c r="J50" s="369">
        <f t="shared" si="8"/>
        <v>1984923.6853999998</v>
      </c>
      <c r="K50" s="369">
        <f>ROUND(J50/'Table 8 Membership'!W53,0)</f>
        <v>205</v>
      </c>
      <c r="L50" s="369">
        <f t="shared" si="9"/>
        <v>0</v>
      </c>
      <c r="M50" s="309">
        <f t="shared" si="10"/>
        <v>0</v>
      </c>
      <c r="N50" s="369">
        <v>219237.82412113616</v>
      </c>
      <c r="O50" s="369">
        <f>ROUND(D50*'Table 8 Membership'!Y53*-1,0)</f>
        <v>0</v>
      </c>
      <c r="P50" s="690">
        <f t="shared" si="16"/>
        <v>2204161.509521136</v>
      </c>
      <c r="Q50" s="691">
        <v>924.4583333134651</v>
      </c>
      <c r="R50" s="692">
        <f t="shared" si="11"/>
        <v>2108.11</v>
      </c>
      <c r="S50" s="369">
        <f t="shared" si="17"/>
        <v>0</v>
      </c>
      <c r="T50" s="369">
        <f>IF(S50&gt;0,'Table 3 Levels 1&amp;2'!C53,0)</f>
        <v>0</v>
      </c>
      <c r="U50" s="309">
        <f>ROUND(S50/'Table 3 Levels 1&amp;2'!C53,0)</f>
        <v>0</v>
      </c>
      <c r="V50" s="309">
        <f t="shared" si="12"/>
        <v>0</v>
      </c>
      <c r="W50" s="369">
        <f t="shared" si="18"/>
        <v>-50302</v>
      </c>
      <c r="X50" s="693">
        <v>5</v>
      </c>
      <c r="Y50" s="694">
        <f>'[2]Sheet1'!C48</f>
        <v>0</v>
      </c>
      <c r="Z50" s="309">
        <f t="shared" si="13"/>
        <v>-5</v>
      </c>
      <c r="AA50" s="369">
        <f t="shared" si="14"/>
        <v>0</v>
      </c>
      <c r="AB50" s="695">
        <v>1010</v>
      </c>
      <c r="AC50" s="695">
        <v>9774832</v>
      </c>
      <c r="AD50" s="695">
        <f>IF(ROUND(AB50*'Table 3 Levels 1&amp;2'!C53,0)&gt;'Table 4 Level 3'!AC50,AC50,ROUND(AB50*'Table 3 Levels 1&amp;2'!C53,0))</f>
        <v>9742460</v>
      </c>
      <c r="AE50" s="695">
        <f t="shared" si="19"/>
        <v>9692158</v>
      </c>
    </row>
    <row r="51" spans="1:31" ht="12.75">
      <c r="A51" s="660">
        <v>46</v>
      </c>
      <c r="B51" s="660" t="s">
        <v>187</v>
      </c>
      <c r="C51" s="23">
        <f>'Table 3 Levels 1&amp;2'!AN54</f>
        <v>5784147</v>
      </c>
      <c r="D51" s="23">
        <f>ROUND(C51/'Table 3 Levels 1&amp;2'!C54,2)</f>
        <v>4294.1</v>
      </c>
      <c r="E51" s="684">
        <f t="shared" si="5"/>
        <v>5</v>
      </c>
      <c r="F51" s="23">
        <v>5848173.9811</v>
      </c>
      <c r="G51" s="685">
        <f t="shared" si="6"/>
        <v>0</v>
      </c>
      <c r="H51" s="23">
        <f t="shared" si="7"/>
        <v>5848173.9811</v>
      </c>
      <c r="I51" s="23">
        <f t="shared" si="15"/>
        <v>-64026.98110000044</v>
      </c>
      <c r="J51" s="22">
        <f t="shared" si="8"/>
        <v>0</v>
      </c>
      <c r="K51" s="22">
        <f>ROUND(J51/'Table 8 Membership'!W54,0)</f>
        <v>0</v>
      </c>
      <c r="L51" s="22">
        <f t="shared" si="9"/>
        <v>-64026.98110000044</v>
      </c>
      <c r="M51" s="134">
        <f t="shared" si="10"/>
        <v>1</v>
      </c>
      <c r="N51" s="22">
        <v>58688.88279094246</v>
      </c>
      <c r="O51" s="22">
        <f>ROUND(D51*'Table 8 Membership'!Y54*-1,0)</f>
        <v>0</v>
      </c>
      <c r="P51" s="310">
        <f t="shared" si="16"/>
        <v>58688.88279094246</v>
      </c>
      <c r="Q51" s="686">
        <v>123.10571423173</v>
      </c>
      <c r="R51" s="324">
        <f t="shared" si="11"/>
        <v>421.52</v>
      </c>
      <c r="S51" s="22">
        <f t="shared" si="17"/>
        <v>228130</v>
      </c>
      <c r="T51" s="22">
        <f>IF(S51&gt;0,'Table 3 Levels 1&amp;2'!C54,0)</f>
        <v>1347</v>
      </c>
      <c r="U51" s="134">
        <f>ROUND(S51/'Table 3 Levels 1&amp;2'!C54,0)</f>
        <v>169</v>
      </c>
      <c r="V51" s="134">
        <f t="shared" si="12"/>
        <v>1</v>
      </c>
      <c r="W51" s="22">
        <f t="shared" si="18"/>
        <v>0</v>
      </c>
      <c r="X51" s="687">
        <v>0</v>
      </c>
      <c r="Y51" s="687">
        <f>'[2]Sheet1'!C49</f>
        <v>0</v>
      </c>
      <c r="Z51" s="134">
        <f t="shared" si="13"/>
        <v>0</v>
      </c>
      <c r="AA51" s="22">
        <f t="shared" si="14"/>
        <v>0</v>
      </c>
      <c r="AB51" s="308">
        <v>0</v>
      </c>
      <c r="AC51" s="308">
        <v>0</v>
      </c>
      <c r="AD51" s="308">
        <f>IF(ROUND(AB51*'Table 3 Levels 1&amp;2'!C54,0)&gt;'Table 4 Level 3'!AC51,AC51,ROUND(AB51*'Table 3 Levels 1&amp;2'!C54,0))</f>
        <v>0</v>
      </c>
      <c r="AE51" s="308">
        <f t="shared" si="19"/>
        <v>228130</v>
      </c>
    </row>
    <row r="52" spans="1:31" ht="12.75">
      <c r="A52" s="660">
        <v>47</v>
      </c>
      <c r="B52" s="660" t="s">
        <v>188</v>
      </c>
      <c r="C52" s="23">
        <f>'Table 3 Levels 1&amp;2'!AN55</f>
        <v>7216957</v>
      </c>
      <c r="D52" s="23">
        <f>ROUND(C52/'Table 3 Levels 1&amp;2'!C55,2)</f>
        <v>1908.24</v>
      </c>
      <c r="E52" s="684">
        <f t="shared" si="5"/>
        <v>63</v>
      </c>
      <c r="F52" s="23">
        <v>7457348.4579</v>
      </c>
      <c r="G52" s="685">
        <f t="shared" si="6"/>
        <v>129600</v>
      </c>
      <c r="H52" s="23">
        <f t="shared" si="7"/>
        <v>7327748.4579</v>
      </c>
      <c r="I52" s="23">
        <f t="shared" si="15"/>
        <v>-110791.4578999998</v>
      </c>
      <c r="J52" s="22">
        <f t="shared" si="8"/>
        <v>0</v>
      </c>
      <c r="K52" s="22">
        <f>ROUND(J52/'Table 8 Membership'!W55,0)</f>
        <v>0</v>
      </c>
      <c r="L52" s="22">
        <f t="shared" si="9"/>
        <v>-110791.4578999998</v>
      </c>
      <c r="M52" s="134">
        <f t="shared" si="10"/>
        <v>1</v>
      </c>
      <c r="N52" s="22">
        <v>94306.12689054181</v>
      </c>
      <c r="O52" s="22">
        <f>ROUND(D52*'Table 8 Membership'!Y55*-1,0)</f>
        <v>0</v>
      </c>
      <c r="P52" s="310">
        <f t="shared" si="16"/>
        <v>94306.12689054181</v>
      </c>
      <c r="Q52" s="686">
        <v>341.385714292526</v>
      </c>
      <c r="R52" s="324">
        <f t="shared" si="11"/>
        <v>244.25</v>
      </c>
      <c r="S52" s="22">
        <f t="shared" si="17"/>
        <v>701074</v>
      </c>
      <c r="T52" s="22">
        <f>IF(S52&gt;0,'Table 3 Levels 1&amp;2'!C55,0)</f>
        <v>3782</v>
      </c>
      <c r="U52" s="134">
        <f>ROUND(S52/'Table 3 Levels 1&amp;2'!C55,0)</f>
        <v>185</v>
      </c>
      <c r="V52" s="134">
        <f t="shared" si="12"/>
        <v>1</v>
      </c>
      <c r="W52" s="22">
        <f t="shared" si="18"/>
        <v>0</v>
      </c>
      <c r="X52" s="687">
        <v>8</v>
      </c>
      <c r="Y52" s="687">
        <f>'[2]Sheet1'!C50</f>
        <v>1</v>
      </c>
      <c r="Z52" s="134">
        <f t="shared" si="13"/>
        <v>-7</v>
      </c>
      <c r="AA52" s="22">
        <f t="shared" si="14"/>
        <v>15434</v>
      </c>
      <c r="AB52" s="308">
        <v>498</v>
      </c>
      <c r="AC52" s="308">
        <v>1925765</v>
      </c>
      <c r="AD52" s="308">
        <f>IF(ROUND(AB52*'Table 3 Levels 1&amp;2'!C55,0)&gt;'Table 4 Level 3'!AC52,AC52,ROUND(AB52*'Table 3 Levels 1&amp;2'!C55,0))</f>
        <v>1883436</v>
      </c>
      <c r="AE52" s="308">
        <f t="shared" si="19"/>
        <v>2599944</v>
      </c>
    </row>
    <row r="53" spans="1:31" ht="12.75">
      <c r="A53" s="660">
        <v>48</v>
      </c>
      <c r="B53" s="660" t="s">
        <v>567</v>
      </c>
      <c r="C53" s="23">
        <f>'Table 3 Levels 1&amp;2'!AN56</f>
        <v>22421805</v>
      </c>
      <c r="D53" s="23">
        <f>ROUND(C53/'Table 3 Levels 1&amp;2'!C56,2)</f>
        <v>3669.69</v>
      </c>
      <c r="E53" s="684">
        <f t="shared" si="5"/>
        <v>33</v>
      </c>
      <c r="F53" s="23">
        <v>22915858.7486</v>
      </c>
      <c r="G53" s="685">
        <f t="shared" si="6"/>
        <v>113400</v>
      </c>
      <c r="H53" s="23">
        <f t="shared" si="7"/>
        <v>22802458.7486</v>
      </c>
      <c r="I53" s="23">
        <f t="shared" si="15"/>
        <v>-380653.74859999865</v>
      </c>
      <c r="J53" s="22">
        <f t="shared" si="8"/>
        <v>0</v>
      </c>
      <c r="K53" s="22">
        <f>ROUND(J53/'Table 8 Membership'!W56,0)</f>
        <v>0</v>
      </c>
      <c r="L53" s="22">
        <f t="shared" si="9"/>
        <v>-380653.74859999865</v>
      </c>
      <c r="M53" s="134">
        <f t="shared" si="10"/>
        <v>1</v>
      </c>
      <c r="N53" s="22">
        <v>229962.01958051624</v>
      </c>
      <c r="O53" s="22">
        <f>ROUND(D53*'Table 8 Membership'!Y56*-1,0)</f>
        <v>0</v>
      </c>
      <c r="P53" s="310">
        <f t="shared" si="16"/>
        <v>229962.01958051624</v>
      </c>
      <c r="Q53" s="686">
        <v>579.1000000238419</v>
      </c>
      <c r="R53" s="324">
        <f t="shared" si="11"/>
        <v>351.11</v>
      </c>
      <c r="S53" s="22">
        <f t="shared" si="17"/>
        <v>1119258</v>
      </c>
      <c r="T53" s="22">
        <f>IF(S53&gt;0,'Table 3 Levels 1&amp;2'!C56,0)</f>
        <v>6110</v>
      </c>
      <c r="U53" s="134">
        <f>ROUND(S53/'Table 3 Levels 1&amp;2'!C56,0)</f>
        <v>183</v>
      </c>
      <c r="V53" s="134">
        <f t="shared" si="12"/>
        <v>1</v>
      </c>
      <c r="W53" s="22">
        <f t="shared" si="18"/>
        <v>0</v>
      </c>
      <c r="X53" s="687">
        <v>7</v>
      </c>
      <c r="Y53" s="687">
        <f>'[2]Sheet1'!C51</f>
        <v>7</v>
      </c>
      <c r="Z53" s="134">
        <f t="shared" si="13"/>
        <v>0</v>
      </c>
      <c r="AA53" s="22">
        <f>ROUND($AA$4*Y53,0)+2</f>
        <v>108040</v>
      </c>
      <c r="AB53" s="308">
        <v>0</v>
      </c>
      <c r="AC53" s="308">
        <v>0</v>
      </c>
      <c r="AD53" s="308">
        <f>IF(ROUND(AB53*'Table 3 Levels 1&amp;2'!C56,0)&gt;'Table 4 Level 3'!AC53,AC53,ROUND(AB53*'Table 3 Levels 1&amp;2'!C56,0))</f>
        <v>0</v>
      </c>
      <c r="AE53" s="308">
        <f t="shared" si="19"/>
        <v>1227298</v>
      </c>
    </row>
    <row r="54" spans="1:31" ht="12.75">
      <c r="A54" s="660">
        <v>49</v>
      </c>
      <c r="B54" s="660" t="s">
        <v>189</v>
      </c>
      <c r="C54" s="23">
        <f>'Table 3 Levels 1&amp;2'!AN57</f>
        <v>58935337</v>
      </c>
      <c r="D54" s="23">
        <f>ROUND(C54/'Table 3 Levels 1&amp;2'!C57,2)</f>
        <v>3838.19</v>
      </c>
      <c r="E54" s="684">
        <f t="shared" si="5"/>
        <v>26</v>
      </c>
      <c r="F54" s="23">
        <v>56298936.0993</v>
      </c>
      <c r="G54" s="685">
        <f t="shared" si="6"/>
        <v>32400</v>
      </c>
      <c r="H54" s="23">
        <f t="shared" si="7"/>
        <v>56266536.0993</v>
      </c>
      <c r="I54" s="23">
        <f t="shared" si="15"/>
        <v>2668800.900700003</v>
      </c>
      <c r="J54" s="22">
        <f t="shared" si="8"/>
        <v>2668800.900700003</v>
      </c>
      <c r="K54" s="22">
        <f>ROUND(J54/'Table 8 Membership'!W57,0)</f>
        <v>173</v>
      </c>
      <c r="L54" s="22">
        <f t="shared" si="9"/>
        <v>0</v>
      </c>
      <c r="M54" s="134">
        <f t="shared" si="10"/>
        <v>0</v>
      </c>
      <c r="N54" s="22">
        <v>564972.5461892694</v>
      </c>
      <c r="O54" s="22">
        <f>ROUND(D54*'Table 8 Membership'!Y57*-1,0)</f>
        <v>0</v>
      </c>
      <c r="P54" s="310">
        <f t="shared" si="16"/>
        <v>3233773.4468892724</v>
      </c>
      <c r="Q54" s="686">
        <v>1259.54571424425</v>
      </c>
      <c r="R54" s="324">
        <f t="shared" si="11"/>
        <v>2270.04</v>
      </c>
      <c r="S54" s="22">
        <f t="shared" si="17"/>
        <v>0</v>
      </c>
      <c r="T54" s="22">
        <f>IF(S54&gt;0,'Table 3 Levels 1&amp;2'!C57,0)</f>
        <v>0</v>
      </c>
      <c r="U54" s="134">
        <f>ROUND(S54/'Table 3 Levels 1&amp;2'!C57,0)</f>
        <v>0</v>
      </c>
      <c r="V54" s="134">
        <f t="shared" si="12"/>
        <v>0</v>
      </c>
      <c r="W54" s="22">
        <f t="shared" si="18"/>
        <v>-299212</v>
      </c>
      <c r="X54" s="687">
        <v>2</v>
      </c>
      <c r="Y54" s="687">
        <f>'[2]Sheet1'!C52</f>
        <v>20</v>
      </c>
      <c r="Z54" s="134">
        <f t="shared" si="13"/>
        <v>18</v>
      </c>
      <c r="AA54" s="22">
        <f t="shared" si="14"/>
        <v>308680</v>
      </c>
      <c r="AB54" s="308">
        <v>0</v>
      </c>
      <c r="AC54" s="308">
        <v>0</v>
      </c>
      <c r="AD54" s="308">
        <f>IF(ROUND(AB54*'Table 3 Levels 1&amp;2'!C57,0)&gt;'Table 4 Level 3'!AC54,AC54,ROUND(AB54*'Table 3 Levels 1&amp;2'!C57,0))</f>
        <v>0</v>
      </c>
      <c r="AE54" s="308">
        <f t="shared" si="19"/>
        <v>9468</v>
      </c>
    </row>
    <row r="55" spans="1:31" ht="12.75">
      <c r="A55" s="661">
        <v>50</v>
      </c>
      <c r="B55" s="661" t="s">
        <v>190</v>
      </c>
      <c r="C55" s="24">
        <f>'Table 3 Levels 1&amp;2'!AN58</f>
        <v>32929830</v>
      </c>
      <c r="D55" s="24">
        <f>ROUND(C55/'Table 3 Levels 1&amp;2'!C58,2)</f>
        <v>3910.91</v>
      </c>
      <c r="E55" s="688">
        <f t="shared" si="5"/>
        <v>22</v>
      </c>
      <c r="F55" s="24">
        <v>32173892.8273</v>
      </c>
      <c r="G55" s="689">
        <f t="shared" si="6"/>
        <v>129600</v>
      </c>
      <c r="H55" s="434">
        <f t="shared" si="7"/>
        <v>32044292.8273</v>
      </c>
      <c r="I55" s="24">
        <f t="shared" si="15"/>
        <v>885537.1726999991</v>
      </c>
      <c r="J55" s="369">
        <f t="shared" si="8"/>
        <v>885537.1726999991</v>
      </c>
      <c r="K55" s="369">
        <f>ROUND(J55/'Table 8 Membership'!W58,0)</f>
        <v>103</v>
      </c>
      <c r="L55" s="369">
        <f t="shared" si="9"/>
        <v>0</v>
      </c>
      <c r="M55" s="309">
        <f t="shared" si="10"/>
        <v>0</v>
      </c>
      <c r="N55" s="369">
        <v>322869.9457622332</v>
      </c>
      <c r="O55" s="369">
        <f>ROUND(D55*'Table 8 Membership'!Y58*-1,0)</f>
        <v>0</v>
      </c>
      <c r="P55" s="690">
        <f t="shared" si="16"/>
        <v>1208407.1184622324</v>
      </c>
      <c r="Q55" s="691">
        <v>688.5833333134651</v>
      </c>
      <c r="R55" s="692">
        <f t="shared" si="11"/>
        <v>1551.65</v>
      </c>
      <c r="S55" s="369">
        <f t="shared" si="17"/>
        <v>395897</v>
      </c>
      <c r="T55" s="369">
        <f>IF(S55&gt;0,'Table 3 Levels 1&amp;2'!C58,0)</f>
        <v>8420</v>
      </c>
      <c r="U55" s="309">
        <f>ROUND(S55/'Table 3 Levels 1&amp;2'!C58,0)</f>
        <v>47</v>
      </c>
      <c r="V55" s="309">
        <f t="shared" si="12"/>
        <v>1</v>
      </c>
      <c r="W55" s="369">
        <f t="shared" si="18"/>
        <v>0</v>
      </c>
      <c r="X55" s="693">
        <v>8</v>
      </c>
      <c r="Y55" s="694">
        <f>'[2]Sheet1'!C53</f>
        <v>15</v>
      </c>
      <c r="Z55" s="309">
        <f t="shared" si="13"/>
        <v>7</v>
      </c>
      <c r="AA55" s="369">
        <f t="shared" si="14"/>
        <v>231510</v>
      </c>
      <c r="AB55" s="695">
        <v>0</v>
      </c>
      <c r="AC55" s="695">
        <v>0</v>
      </c>
      <c r="AD55" s="695">
        <f>IF(ROUND(AB55*'Table 3 Levels 1&amp;2'!C58,0)&gt;'Table 4 Level 3'!AC55,AC55,ROUND(AB55*'Table 3 Levels 1&amp;2'!C58,0))</f>
        <v>0</v>
      </c>
      <c r="AE55" s="695">
        <f t="shared" si="19"/>
        <v>627407</v>
      </c>
    </row>
    <row r="56" spans="1:31" ht="12.75">
      <c r="A56" s="660">
        <v>51</v>
      </c>
      <c r="B56" s="660" t="s">
        <v>191</v>
      </c>
      <c r="C56" s="23">
        <f>'Table 3 Levels 1&amp;2'!AN59</f>
        <v>35148334</v>
      </c>
      <c r="D56" s="23">
        <f>ROUND(C56/'Table 3 Levels 1&amp;2'!C59,2)</f>
        <v>3401.56</v>
      </c>
      <c r="E56" s="684">
        <f t="shared" si="5"/>
        <v>45</v>
      </c>
      <c r="F56" s="23">
        <v>33837968.2114</v>
      </c>
      <c r="G56" s="685">
        <f t="shared" si="6"/>
        <v>0</v>
      </c>
      <c r="H56" s="23">
        <f t="shared" si="7"/>
        <v>33837968.2114</v>
      </c>
      <c r="I56" s="23">
        <f t="shared" si="15"/>
        <v>1310365.7885999978</v>
      </c>
      <c r="J56" s="22">
        <f t="shared" si="8"/>
        <v>1310365.7885999978</v>
      </c>
      <c r="K56" s="22">
        <f>ROUND(J56/'Table 8 Membership'!W59,0)</f>
        <v>124</v>
      </c>
      <c r="L56" s="22">
        <f t="shared" si="9"/>
        <v>0</v>
      </c>
      <c r="M56" s="134">
        <f t="shared" si="10"/>
        <v>0</v>
      </c>
      <c r="N56" s="22">
        <v>339571.1151046649</v>
      </c>
      <c r="O56" s="22">
        <f>ROUND(D56*'Table 8 Membership'!Y59*-1,0)</f>
        <v>0</v>
      </c>
      <c r="P56" s="310">
        <f t="shared" si="16"/>
        <v>1649936.9037046626</v>
      </c>
      <c r="Q56" s="686">
        <v>876.5833333134651</v>
      </c>
      <c r="R56" s="324">
        <f t="shared" si="11"/>
        <v>1664.22</v>
      </c>
      <c r="S56" s="22">
        <f t="shared" si="17"/>
        <v>392383</v>
      </c>
      <c r="T56" s="22">
        <f>IF(S56&gt;0,'Table 3 Levels 1&amp;2'!C59,0)</f>
        <v>10333</v>
      </c>
      <c r="U56" s="134">
        <f>ROUND(S56/'Table 3 Levels 1&amp;2'!C59,0)</f>
        <v>38</v>
      </c>
      <c r="V56" s="134">
        <f t="shared" si="12"/>
        <v>1</v>
      </c>
      <c r="W56" s="22">
        <f t="shared" si="18"/>
        <v>0</v>
      </c>
      <c r="X56" s="687">
        <v>0</v>
      </c>
      <c r="Y56" s="687">
        <f>'[2]Sheet1'!C54</f>
        <v>0</v>
      </c>
      <c r="Z56" s="134">
        <f t="shared" si="13"/>
        <v>0</v>
      </c>
      <c r="AA56" s="22">
        <f t="shared" si="14"/>
        <v>0</v>
      </c>
      <c r="AB56" s="308">
        <v>0</v>
      </c>
      <c r="AC56" s="308">
        <v>0</v>
      </c>
      <c r="AD56" s="308">
        <f>IF(ROUND(AB56*'Table 3 Levels 1&amp;2'!C59,0)&gt;'Table 4 Level 3'!AC56,AC56,ROUND(AB56*'Table 3 Levels 1&amp;2'!C59,0))</f>
        <v>0</v>
      </c>
      <c r="AE56" s="308">
        <f t="shared" si="19"/>
        <v>392383</v>
      </c>
    </row>
    <row r="57" spans="1:31" ht="12.75">
      <c r="A57" s="660">
        <v>52</v>
      </c>
      <c r="B57" s="660" t="s">
        <v>192</v>
      </c>
      <c r="C57" s="23">
        <f>'Table 3 Levels 1&amp;2'!AN60</f>
        <v>124163881</v>
      </c>
      <c r="D57" s="23">
        <f>ROUND(C57/'Table 3 Levels 1&amp;2'!C60,2)</f>
        <v>3777.42</v>
      </c>
      <c r="E57" s="684">
        <f t="shared" si="5"/>
        <v>30</v>
      </c>
      <c r="F57" s="23">
        <v>117972981.004</v>
      </c>
      <c r="G57" s="685">
        <f t="shared" si="6"/>
        <v>178200</v>
      </c>
      <c r="H57" s="23">
        <f t="shared" si="7"/>
        <v>117794781.004</v>
      </c>
      <c r="I57" s="23">
        <f t="shared" si="15"/>
        <v>6369099.996000007</v>
      </c>
      <c r="J57" s="22">
        <f t="shared" si="8"/>
        <v>6369099.996000007</v>
      </c>
      <c r="K57" s="22">
        <f>ROUND(J57/'Table 8 Membership'!W60,0)</f>
        <v>196</v>
      </c>
      <c r="L57" s="22">
        <f t="shared" si="9"/>
        <v>0</v>
      </c>
      <c r="M57" s="134">
        <f t="shared" si="10"/>
        <v>0</v>
      </c>
      <c r="N57" s="22">
        <v>1183860.1422499663</v>
      </c>
      <c r="O57" s="22">
        <f>ROUND(D57*'Table 8 Membership'!Y60*-1,0)</f>
        <v>-1495858</v>
      </c>
      <c r="P57" s="310">
        <f t="shared" si="16"/>
        <v>6057102.138249973</v>
      </c>
      <c r="Q57" s="686">
        <v>2708.1159994006157</v>
      </c>
      <c r="R57" s="324">
        <f t="shared" si="11"/>
        <v>1977.58</v>
      </c>
      <c r="S57" s="22">
        <f t="shared" si="17"/>
        <v>252443</v>
      </c>
      <c r="T57" s="22">
        <f>IF(S57&gt;0,'Table 3 Levels 1&amp;2'!C60,0)</f>
        <v>32870</v>
      </c>
      <c r="U57" s="134">
        <f>ROUND(S57/'Table 3 Levels 1&amp;2'!C60,0)</f>
        <v>8</v>
      </c>
      <c r="V57" s="134">
        <f t="shared" si="12"/>
        <v>1</v>
      </c>
      <c r="W57" s="22">
        <f t="shared" si="18"/>
        <v>0</v>
      </c>
      <c r="X57" s="687">
        <v>11</v>
      </c>
      <c r="Y57" s="687">
        <f>'[2]Sheet1'!C55</f>
        <v>5</v>
      </c>
      <c r="Z57" s="134">
        <f t="shared" si="13"/>
        <v>-6</v>
      </c>
      <c r="AA57" s="22">
        <f t="shared" si="14"/>
        <v>77170</v>
      </c>
      <c r="AB57" s="308">
        <v>0</v>
      </c>
      <c r="AC57" s="308">
        <v>0</v>
      </c>
      <c r="AD57" s="308">
        <f>IF(ROUND(AB57*'Table 3 Levels 1&amp;2'!C60,0)&gt;'Table 4 Level 3'!AC57,AC57,ROUND(AB57*'Table 3 Levels 1&amp;2'!C60,0))</f>
        <v>0</v>
      </c>
      <c r="AE57" s="308">
        <f t="shared" si="19"/>
        <v>329613</v>
      </c>
    </row>
    <row r="58" spans="1:31" ht="12.75">
      <c r="A58" s="660">
        <v>53</v>
      </c>
      <c r="B58" s="660" t="s">
        <v>193</v>
      </c>
      <c r="C58" s="23">
        <f>'Table 3 Levels 1&amp;2'!AN61</f>
        <v>64501229</v>
      </c>
      <c r="D58" s="23">
        <f>ROUND(C58/'Table 3 Levels 1&amp;2'!C61,2)</f>
        <v>3601.21</v>
      </c>
      <c r="E58" s="684">
        <f t="shared" si="5"/>
        <v>36</v>
      </c>
      <c r="F58" s="23">
        <v>64407064.5605</v>
      </c>
      <c r="G58" s="685">
        <f t="shared" si="6"/>
        <v>0</v>
      </c>
      <c r="H58" s="23">
        <f t="shared" si="7"/>
        <v>64407064.5605</v>
      </c>
      <c r="I58" s="23">
        <f t="shared" si="15"/>
        <v>94164.4394999966</v>
      </c>
      <c r="J58" s="22">
        <f t="shared" si="8"/>
        <v>94164.4394999966</v>
      </c>
      <c r="K58" s="22">
        <f>ROUND(J58/'Table 8 Membership'!W61,0)</f>
        <v>5</v>
      </c>
      <c r="L58" s="22">
        <f t="shared" si="9"/>
        <v>0</v>
      </c>
      <c r="M58" s="134">
        <f t="shared" si="10"/>
        <v>0</v>
      </c>
      <c r="N58" s="22">
        <v>646327.6978056623</v>
      </c>
      <c r="O58" s="22">
        <f>ROUND(D58*'Table 8 Membership'!Y61*-1,0)</f>
        <v>0</v>
      </c>
      <c r="P58" s="310">
        <f t="shared" si="16"/>
        <v>740492.1373056589</v>
      </c>
      <c r="Q58" s="686">
        <v>1272.66666662693</v>
      </c>
      <c r="R58" s="324">
        <f t="shared" si="11"/>
        <v>514.45</v>
      </c>
      <c r="S58" s="22">
        <f t="shared" si="17"/>
        <v>2224643</v>
      </c>
      <c r="T58" s="22">
        <f>IF(S58&gt;0,'Table 3 Levels 1&amp;2'!C61,0)</f>
        <v>17911</v>
      </c>
      <c r="U58" s="134">
        <f>ROUND(S58/'Table 3 Levels 1&amp;2'!C61,0)</f>
        <v>124</v>
      </c>
      <c r="V58" s="134">
        <f t="shared" si="12"/>
        <v>1</v>
      </c>
      <c r="W58" s="22">
        <f t="shared" si="18"/>
        <v>0</v>
      </c>
      <c r="X58" s="687">
        <v>0</v>
      </c>
      <c r="Y58" s="687">
        <f>'[2]Sheet1'!C56</f>
        <v>1</v>
      </c>
      <c r="Z58" s="134">
        <f t="shared" si="13"/>
        <v>1</v>
      </c>
      <c r="AA58" s="22">
        <f>ROUND($AA$4*Y58,0)+1</f>
        <v>15435</v>
      </c>
      <c r="AB58" s="308">
        <v>0</v>
      </c>
      <c r="AC58" s="308">
        <v>0</v>
      </c>
      <c r="AD58" s="308">
        <f>IF(ROUND(AB58*'Table 3 Levels 1&amp;2'!C61,0)&gt;'Table 4 Level 3'!AC58,AC58,ROUND(AB58*'Table 3 Levels 1&amp;2'!C61,0))</f>
        <v>0</v>
      </c>
      <c r="AE58" s="308">
        <f t="shared" si="19"/>
        <v>2240078</v>
      </c>
    </row>
    <row r="59" spans="1:31" ht="12.75">
      <c r="A59" s="660">
        <v>54</v>
      </c>
      <c r="B59" s="660" t="s">
        <v>194</v>
      </c>
      <c r="C59" s="23">
        <f>'Table 3 Levels 1&amp;2'!AN62</f>
        <v>4069528</v>
      </c>
      <c r="D59" s="23">
        <f>ROUND(C59/'Table 3 Levels 1&amp;2'!C62,2)</f>
        <v>4265.75</v>
      </c>
      <c r="E59" s="684">
        <f t="shared" si="5"/>
        <v>6</v>
      </c>
      <c r="F59" s="23">
        <v>4059698.7318</v>
      </c>
      <c r="G59" s="685">
        <f t="shared" si="6"/>
        <v>48600</v>
      </c>
      <c r="H59" s="23">
        <f t="shared" si="7"/>
        <v>4011098.7318</v>
      </c>
      <c r="I59" s="23">
        <f t="shared" si="15"/>
        <v>58429.26819999982</v>
      </c>
      <c r="J59" s="22">
        <f t="shared" si="8"/>
        <v>58429.26819999982</v>
      </c>
      <c r="K59" s="22">
        <f>ROUND(J59/'Table 8 Membership'!W62,0)</f>
        <v>57</v>
      </c>
      <c r="L59" s="22">
        <f t="shared" si="9"/>
        <v>0</v>
      </c>
      <c r="M59" s="134">
        <f t="shared" si="10"/>
        <v>0</v>
      </c>
      <c r="N59" s="22">
        <v>40740.975170827915</v>
      </c>
      <c r="O59" s="22">
        <f>ROUND(D59*'Table 8 Membership'!Y62*-1,0)</f>
        <v>0</v>
      </c>
      <c r="P59" s="310">
        <f t="shared" si="16"/>
        <v>99170.24337082772</v>
      </c>
      <c r="Q59" s="686">
        <v>106.30000001192093</v>
      </c>
      <c r="R59" s="324">
        <f t="shared" si="11"/>
        <v>824.87</v>
      </c>
      <c r="S59" s="22">
        <f t="shared" si="17"/>
        <v>148494</v>
      </c>
      <c r="T59" s="22">
        <f>IF(S59&gt;0,'Table 3 Levels 1&amp;2'!C62,0)</f>
        <v>954</v>
      </c>
      <c r="U59" s="134">
        <f>ROUND(S59/'Table 3 Levels 1&amp;2'!C62,0)</f>
        <v>156</v>
      </c>
      <c r="V59" s="134">
        <f t="shared" si="12"/>
        <v>1</v>
      </c>
      <c r="W59" s="22">
        <f t="shared" si="18"/>
        <v>0</v>
      </c>
      <c r="X59" s="687">
        <v>3</v>
      </c>
      <c r="Y59" s="687">
        <f>'[2]Sheet1'!C57</f>
        <v>2</v>
      </c>
      <c r="Z59" s="134">
        <f t="shared" si="13"/>
        <v>-1</v>
      </c>
      <c r="AA59" s="22">
        <f>ROUND($AA$4*Y59,0)+2</f>
        <v>30870</v>
      </c>
      <c r="AB59" s="308">
        <v>0</v>
      </c>
      <c r="AC59" s="308">
        <v>0</v>
      </c>
      <c r="AD59" s="308">
        <f>IF(ROUND(AB59*'Table 3 Levels 1&amp;2'!C62,0)&gt;'Table 4 Level 3'!AC59,AC59,ROUND(AB59*'Table 3 Levels 1&amp;2'!C62,0))</f>
        <v>0</v>
      </c>
      <c r="AE59" s="308">
        <f t="shared" si="19"/>
        <v>179364</v>
      </c>
    </row>
    <row r="60" spans="1:31" ht="12.75">
      <c r="A60" s="661">
        <v>55</v>
      </c>
      <c r="B60" s="661" t="s">
        <v>195</v>
      </c>
      <c r="C60" s="24">
        <f>'Table 3 Levels 1&amp;2'!AN63</f>
        <v>64257414</v>
      </c>
      <c r="D60" s="24">
        <f>ROUND(C60/'Table 3 Levels 1&amp;2'!C63,2)</f>
        <v>3331.99</v>
      </c>
      <c r="E60" s="688">
        <f t="shared" si="5"/>
        <v>48</v>
      </c>
      <c r="F60" s="24">
        <v>64017713.7967</v>
      </c>
      <c r="G60" s="689">
        <f t="shared" si="6"/>
        <v>81000</v>
      </c>
      <c r="H60" s="434">
        <f t="shared" si="7"/>
        <v>63936713.7967</v>
      </c>
      <c r="I60" s="24">
        <f t="shared" si="15"/>
        <v>320700.20329999924</v>
      </c>
      <c r="J60" s="369">
        <f t="shared" si="8"/>
        <v>320700.20329999924</v>
      </c>
      <c r="K60" s="369">
        <f>ROUND(J60/'Table 8 Membership'!W63,0)</f>
        <v>16</v>
      </c>
      <c r="L60" s="369">
        <f t="shared" si="9"/>
        <v>0</v>
      </c>
      <c r="M60" s="309">
        <f t="shared" si="10"/>
        <v>0</v>
      </c>
      <c r="N60" s="369">
        <v>642419.6046622583</v>
      </c>
      <c r="O60" s="369">
        <f>ROUND(D60*'Table 8 Membership'!Y63*-1,0)</f>
        <v>0</v>
      </c>
      <c r="P60" s="690">
        <f t="shared" si="16"/>
        <v>963119.8079622575</v>
      </c>
      <c r="Q60" s="691">
        <v>1658</v>
      </c>
      <c r="R60" s="692">
        <f t="shared" si="11"/>
        <v>513.61</v>
      </c>
      <c r="S60" s="369">
        <f t="shared" si="17"/>
        <v>2899787</v>
      </c>
      <c r="T60" s="369">
        <f>IF(S60&gt;0,'Table 3 Levels 1&amp;2'!C63,0)</f>
        <v>19285</v>
      </c>
      <c r="U60" s="309">
        <f>ROUND(S60/'Table 3 Levels 1&amp;2'!C63,0)</f>
        <v>150</v>
      </c>
      <c r="V60" s="309">
        <f t="shared" si="12"/>
        <v>1</v>
      </c>
      <c r="W60" s="369">
        <f t="shared" si="18"/>
        <v>0</v>
      </c>
      <c r="X60" s="693">
        <v>5</v>
      </c>
      <c r="Y60" s="694">
        <f>'[2]Sheet1'!C58</f>
        <v>2</v>
      </c>
      <c r="Z60" s="309">
        <f t="shared" si="13"/>
        <v>-3</v>
      </c>
      <c r="AA60" s="369">
        <f>ROUND($AA$4*Y60,0)+2</f>
        <v>30870</v>
      </c>
      <c r="AB60" s="695">
        <v>0</v>
      </c>
      <c r="AC60" s="695">
        <v>0</v>
      </c>
      <c r="AD60" s="695">
        <f>IF(ROUND(AB60*'Table 3 Levels 1&amp;2'!C63,0)&gt;'Table 4 Level 3'!AC60,AC60,ROUND(AB60*'Table 3 Levels 1&amp;2'!C63,0))</f>
        <v>0</v>
      </c>
      <c r="AE60" s="695">
        <f t="shared" si="19"/>
        <v>2930657</v>
      </c>
    </row>
    <row r="61" spans="1:31" ht="12.75">
      <c r="A61" s="660">
        <v>56</v>
      </c>
      <c r="B61" s="660" t="s">
        <v>196</v>
      </c>
      <c r="C61" s="23">
        <f>'Table 3 Levels 1&amp;2'!AN64</f>
        <v>12389199</v>
      </c>
      <c r="D61" s="23">
        <f>ROUND(C61/'Table 3 Levels 1&amp;2'!C64,2)</f>
        <v>3544.84</v>
      </c>
      <c r="E61" s="684">
        <f t="shared" si="5"/>
        <v>39</v>
      </c>
      <c r="F61" s="23">
        <v>11556827.8572</v>
      </c>
      <c r="G61" s="685">
        <f t="shared" si="6"/>
        <v>0</v>
      </c>
      <c r="H61" s="23">
        <f t="shared" si="7"/>
        <v>11556827.8572</v>
      </c>
      <c r="I61" s="23">
        <f t="shared" si="15"/>
        <v>832371.1427999996</v>
      </c>
      <c r="J61" s="22">
        <f t="shared" si="8"/>
        <v>832371.1427999996</v>
      </c>
      <c r="K61" s="22">
        <f>ROUND(J61/'Table 8 Membership'!W64,0)</f>
        <v>235</v>
      </c>
      <c r="L61" s="22">
        <f t="shared" si="9"/>
        <v>0</v>
      </c>
      <c r="M61" s="134">
        <f t="shared" si="10"/>
        <v>0</v>
      </c>
      <c r="N61" s="22">
        <v>115976.1877687704</v>
      </c>
      <c r="O61" s="22">
        <f>ROUND(D61*'Table 8 Membership'!Y64*-1,0)</f>
        <v>0</v>
      </c>
      <c r="P61" s="310">
        <f t="shared" si="16"/>
        <v>948347.33056877</v>
      </c>
      <c r="Q61" s="686">
        <v>263.988571405411</v>
      </c>
      <c r="R61" s="324">
        <f t="shared" si="11"/>
        <v>3176.29</v>
      </c>
      <c r="S61" s="22">
        <f t="shared" si="17"/>
        <v>0</v>
      </c>
      <c r="T61" s="22">
        <f>IF(S61&gt;0,'Table 3 Levels 1&amp;2'!C64,0)</f>
        <v>0</v>
      </c>
      <c r="U61" s="134">
        <f>ROUND(S61/'Table 3 Levels 1&amp;2'!C64,0)</f>
        <v>0</v>
      </c>
      <c r="V61" s="134">
        <f t="shared" si="12"/>
        <v>0</v>
      </c>
      <c r="W61" s="22">
        <f t="shared" si="18"/>
        <v>-333292</v>
      </c>
      <c r="X61" s="687">
        <v>0</v>
      </c>
      <c r="Y61" s="687">
        <f>'[2]Sheet1'!C59</f>
        <v>0</v>
      </c>
      <c r="Z61" s="134">
        <f t="shared" si="13"/>
        <v>0</v>
      </c>
      <c r="AA61" s="22">
        <f t="shared" si="14"/>
        <v>0</v>
      </c>
      <c r="AB61" s="308">
        <v>0</v>
      </c>
      <c r="AC61" s="308">
        <v>0</v>
      </c>
      <c r="AD61" s="308">
        <f>IF(ROUND(AB61*'Table 3 Levels 1&amp;2'!C64,0)&gt;'Table 4 Level 3'!AC61,AC61,ROUND(AB61*'Table 3 Levels 1&amp;2'!C64,0))</f>
        <v>0</v>
      </c>
      <c r="AE61" s="308">
        <f t="shared" si="19"/>
        <v>-333292</v>
      </c>
    </row>
    <row r="62" spans="1:31" ht="12.75">
      <c r="A62" s="660">
        <v>57</v>
      </c>
      <c r="B62" s="660" t="s">
        <v>197</v>
      </c>
      <c r="C62" s="23">
        <f>'Table 3 Levels 1&amp;2'!AN65</f>
        <v>26638752</v>
      </c>
      <c r="D62" s="23">
        <f>ROUND(C62/'Table 3 Levels 1&amp;2'!C65,2)</f>
        <v>3066.51</v>
      </c>
      <c r="E62" s="684">
        <f t="shared" si="5"/>
        <v>51</v>
      </c>
      <c r="F62" s="23">
        <v>26841890.6497</v>
      </c>
      <c r="G62" s="685">
        <f t="shared" si="6"/>
        <v>32400</v>
      </c>
      <c r="H62" s="23">
        <f t="shared" si="7"/>
        <v>26809490.6497</v>
      </c>
      <c r="I62" s="23">
        <f t="shared" si="15"/>
        <v>-170738.64970000088</v>
      </c>
      <c r="J62" s="22">
        <f t="shared" si="8"/>
        <v>0</v>
      </c>
      <c r="K62" s="22">
        <f>ROUND(J62/'Table 8 Membership'!W65,0)</f>
        <v>0</v>
      </c>
      <c r="L62" s="22">
        <f t="shared" si="9"/>
        <v>-170738.64970000088</v>
      </c>
      <c r="M62" s="134">
        <f t="shared" si="10"/>
        <v>1</v>
      </c>
      <c r="N62" s="22">
        <v>269360.150032043</v>
      </c>
      <c r="O62" s="22">
        <f>ROUND(D62*'Table 8 Membership'!Y65*-1,0)</f>
        <v>0</v>
      </c>
      <c r="P62" s="310">
        <f t="shared" si="16"/>
        <v>269360.150032043</v>
      </c>
      <c r="Q62" s="686">
        <v>718.254285752773</v>
      </c>
      <c r="R62" s="324">
        <f t="shared" si="11"/>
        <v>331.58</v>
      </c>
      <c r="S62" s="22">
        <f t="shared" si="17"/>
        <v>1404074</v>
      </c>
      <c r="T62" s="22">
        <f>IF(S62&gt;0,'Table 3 Levels 1&amp;2'!C65,0)</f>
        <v>8687</v>
      </c>
      <c r="U62" s="134">
        <f>ROUND(S62/'Table 3 Levels 1&amp;2'!C65,0)</f>
        <v>162</v>
      </c>
      <c r="V62" s="134">
        <f t="shared" si="12"/>
        <v>1</v>
      </c>
      <c r="W62" s="22">
        <f t="shared" si="18"/>
        <v>0</v>
      </c>
      <c r="X62" s="687">
        <v>2</v>
      </c>
      <c r="Y62" s="687">
        <f>'[2]Sheet1'!C60</f>
        <v>0</v>
      </c>
      <c r="Z62" s="134">
        <f t="shared" si="13"/>
        <v>-2</v>
      </c>
      <c r="AA62" s="22">
        <f t="shared" si="14"/>
        <v>0</v>
      </c>
      <c r="AB62" s="308">
        <v>0</v>
      </c>
      <c r="AC62" s="308">
        <v>0</v>
      </c>
      <c r="AD62" s="308">
        <f>IF(ROUND(AB62*'Table 3 Levels 1&amp;2'!C65,0)&gt;'Table 4 Level 3'!AC62,AC62,ROUND(AB62*'Table 3 Levels 1&amp;2'!C65,0))</f>
        <v>0</v>
      </c>
      <c r="AE62" s="308">
        <f t="shared" si="19"/>
        <v>1404074</v>
      </c>
    </row>
    <row r="63" spans="1:31" ht="12.75">
      <c r="A63" s="660">
        <v>58</v>
      </c>
      <c r="B63" s="660" t="s">
        <v>198</v>
      </c>
      <c r="C63" s="23">
        <f>'Table 3 Levels 1&amp;2'!AN66</f>
        <v>38102373</v>
      </c>
      <c r="D63" s="23">
        <f>ROUND(C63/'Table 3 Levels 1&amp;2'!C66,2)</f>
        <v>3891.17</v>
      </c>
      <c r="E63" s="684">
        <f t="shared" si="5"/>
        <v>24</v>
      </c>
      <c r="F63" s="23">
        <v>38350213.0619</v>
      </c>
      <c r="G63" s="685">
        <f t="shared" si="6"/>
        <v>113400</v>
      </c>
      <c r="H63" s="23">
        <f t="shared" si="7"/>
        <v>38236813.0619</v>
      </c>
      <c r="I63" s="23">
        <f t="shared" si="15"/>
        <v>-134440.0618999973</v>
      </c>
      <c r="J63" s="22">
        <f t="shared" si="8"/>
        <v>0</v>
      </c>
      <c r="K63" s="22">
        <f>ROUND(J63/'Table 8 Membership'!W66,0)</f>
        <v>0</v>
      </c>
      <c r="L63" s="22">
        <f t="shared" si="9"/>
        <v>-134440.0618999973</v>
      </c>
      <c r="M63" s="134">
        <f t="shared" si="10"/>
        <v>1</v>
      </c>
      <c r="N63" s="22">
        <v>384851.65434974845</v>
      </c>
      <c r="O63" s="22">
        <f>ROUND(D63*'Table 8 Membership'!Y66*-1,0)</f>
        <v>0</v>
      </c>
      <c r="P63" s="310">
        <f t="shared" si="16"/>
        <v>384851.65434974845</v>
      </c>
      <c r="Q63" s="686">
        <v>833.8395238518718</v>
      </c>
      <c r="R63" s="324">
        <f t="shared" si="11"/>
        <v>408.08</v>
      </c>
      <c r="S63" s="22">
        <f t="shared" si="17"/>
        <v>1557880</v>
      </c>
      <c r="T63" s="22">
        <f>IF(S63&gt;0,'Table 3 Levels 1&amp;2'!C66,0)</f>
        <v>9792</v>
      </c>
      <c r="U63" s="134">
        <f>ROUND(S63/'Table 3 Levels 1&amp;2'!C66,0)</f>
        <v>159</v>
      </c>
      <c r="V63" s="134">
        <f t="shared" si="12"/>
        <v>1</v>
      </c>
      <c r="W63" s="22">
        <f t="shared" si="18"/>
        <v>0</v>
      </c>
      <c r="X63" s="687">
        <v>7</v>
      </c>
      <c r="Y63" s="687">
        <f>'[2]Sheet1'!C61</f>
        <v>5</v>
      </c>
      <c r="Z63" s="134">
        <f t="shared" si="13"/>
        <v>-2</v>
      </c>
      <c r="AA63" s="22">
        <f>ROUND($AA$4*Y63,0)</f>
        <v>77170</v>
      </c>
      <c r="AB63" s="308">
        <v>0</v>
      </c>
      <c r="AC63" s="308">
        <v>0</v>
      </c>
      <c r="AD63" s="308">
        <f>IF(ROUND(AB63*'Table 3 Levels 1&amp;2'!C66,0)&gt;'Table 4 Level 3'!AC63,AC63,ROUND(AB63*'Table 3 Levels 1&amp;2'!C66,0))</f>
        <v>0</v>
      </c>
      <c r="AE63" s="308">
        <f t="shared" si="19"/>
        <v>1635050</v>
      </c>
    </row>
    <row r="64" spans="1:31" ht="12.75">
      <c r="A64" s="660">
        <v>59</v>
      </c>
      <c r="B64" s="660" t="s">
        <v>199</v>
      </c>
      <c r="C64" s="23">
        <f>'Table 3 Levels 1&amp;2'!AN67</f>
        <v>19965865</v>
      </c>
      <c r="D64" s="23">
        <f>ROUND(C64/'Table 3 Levels 1&amp;2'!C67,2)</f>
        <v>4441.79</v>
      </c>
      <c r="E64" s="684">
        <f t="shared" si="5"/>
        <v>2</v>
      </c>
      <c r="F64" s="23">
        <v>19881482.0098</v>
      </c>
      <c r="G64" s="685">
        <f t="shared" si="6"/>
        <v>48600</v>
      </c>
      <c r="H64" s="23">
        <f t="shared" si="7"/>
        <v>19832882.0098</v>
      </c>
      <c r="I64" s="23">
        <f t="shared" si="15"/>
        <v>132982.99020000175</v>
      </c>
      <c r="J64" s="22">
        <f t="shared" si="8"/>
        <v>132982.99020000175</v>
      </c>
      <c r="K64" s="22">
        <f>ROUND(J64/'Table 8 Membership'!W67,0)</f>
        <v>29</v>
      </c>
      <c r="L64" s="22">
        <f t="shared" si="9"/>
        <v>0</v>
      </c>
      <c r="M64" s="134">
        <f t="shared" si="10"/>
        <v>0</v>
      </c>
      <c r="N64" s="22">
        <v>199515.28397035672</v>
      </c>
      <c r="O64" s="22">
        <f>ROUND(D64*'Table 8 Membership'!Y67*-1,0)</f>
        <v>0</v>
      </c>
      <c r="P64" s="310">
        <f t="shared" si="16"/>
        <v>332498.27417035843</v>
      </c>
      <c r="Q64" s="686">
        <v>398.988571465015</v>
      </c>
      <c r="R64" s="324">
        <f t="shared" si="11"/>
        <v>736.83</v>
      </c>
      <c r="S64" s="22">
        <f t="shared" si="17"/>
        <v>597088</v>
      </c>
      <c r="T64" s="22">
        <f>IF(S64&gt;0,'Table 3 Levels 1&amp;2'!C67,0)</f>
        <v>4495</v>
      </c>
      <c r="U64" s="134">
        <f>ROUND(S64/'Table 3 Levels 1&amp;2'!C67,0)</f>
        <v>133</v>
      </c>
      <c r="V64" s="134">
        <f t="shared" si="12"/>
        <v>1</v>
      </c>
      <c r="W64" s="22">
        <f t="shared" si="18"/>
        <v>0</v>
      </c>
      <c r="X64" s="687">
        <v>3</v>
      </c>
      <c r="Y64" s="687">
        <f>'[2]Sheet1'!C62</f>
        <v>0</v>
      </c>
      <c r="Z64" s="134">
        <f t="shared" si="13"/>
        <v>-3</v>
      </c>
      <c r="AA64" s="22">
        <f t="shared" si="14"/>
        <v>0</v>
      </c>
      <c r="AB64" s="308">
        <v>0</v>
      </c>
      <c r="AC64" s="308">
        <v>0</v>
      </c>
      <c r="AD64" s="308">
        <f>IF(ROUND(AB64*'Table 3 Levels 1&amp;2'!C67,0)&gt;'Table 4 Level 3'!AC64,AC64,ROUND(AB64*'Table 3 Levels 1&amp;2'!C67,0))</f>
        <v>0</v>
      </c>
      <c r="AE64" s="308">
        <f t="shared" si="19"/>
        <v>597088</v>
      </c>
    </row>
    <row r="65" spans="1:31" ht="12.75">
      <c r="A65" s="661">
        <v>60</v>
      </c>
      <c r="B65" s="661" t="s">
        <v>200</v>
      </c>
      <c r="C65" s="24">
        <f>'Table 3 Levels 1&amp;2'!AN68</f>
        <v>26483415</v>
      </c>
      <c r="D65" s="24">
        <f>ROUND(C65/'Table 3 Levels 1&amp;2'!C68,2)</f>
        <v>3501.71</v>
      </c>
      <c r="E65" s="688">
        <f t="shared" si="5"/>
        <v>41</v>
      </c>
      <c r="F65" s="24">
        <v>25400759.9695</v>
      </c>
      <c r="G65" s="689">
        <f t="shared" si="6"/>
        <v>0</v>
      </c>
      <c r="H65" s="434">
        <f t="shared" si="7"/>
        <v>25400759.9695</v>
      </c>
      <c r="I65" s="24">
        <f t="shared" si="15"/>
        <v>1082655.0304999985</v>
      </c>
      <c r="J65" s="369">
        <f t="shared" si="8"/>
        <v>1082655.0304999985</v>
      </c>
      <c r="K65" s="369">
        <f>ROUND(J65/'Table 8 Membership'!W68,0)</f>
        <v>143</v>
      </c>
      <c r="L65" s="369">
        <f t="shared" si="9"/>
        <v>0</v>
      </c>
      <c r="M65" s="309">
        <f t="shared" si="10"/>
        <v>0</v>
      </c>
      <c r="N65" s="369">
        <v>254897.75112758848</v>
      </c>
      <c r="O65" s="369">
        <f>ROUND(D65*'Table 8 Membership'!Y68*-1,0)</f>
        <v>-56027</v>
      </c>
      <c r="P65" s="690">
        <f t="shared" si="16"/>
        <v>1281525.781627587</v>
      </c>
      <c r="Q65" s="691">
        <v>589.359999984503</v>
      </c>
      <c r="R65" s="692">
        <f t="shared" si="11"/>
        <v>1922.58</v>
      </c>
      <c r="S65" s="369">
        <f t="shared" si="17"/>
        <v>91600</v>
      </c>
      <c r="T65" s="369">
        <f>IF(S65&gt;0,'Table 3 Levels 1&amp;2'!C68,0)</f>
        <v>7563</v>
      </c>
      <c r="U65" s="309">
        <f>ROUND(S65/'Table 3 Levels 1&amp;2'!C68,0)</f>
        <v>12</v>
      </c>
      <c r="V65" s="309">
        <f t="shared" si="12"/>
        <v>1</v>
      </c>
      <c r="W65" s="369">
        <f t="shared" si="18"/>
        <v>0</v>
      </c>
      <c r="X65" s="693">
        <v>0</v>
      </c>
      <c r="Y65" s="694">
        <f>'[2]Sheet1'!C63</f>
        <v>0</v>
      </c>
      <c r="Z65" s="309">
        <f t="shared" si="13"/>
        <v>0</v>
      </c>
      <c r="AA65" s="369">
        <f t="shared" si="14"/>
        <v>0</v>
      </c>
      <c r="AB65" s="695">
        <v>0</v>
      </c>
      <c r="AC65" s="695">
        <v>0</v>
      </c>
      <c r="AD65" s="695">
        <f>IF(ROUND(AB65*'Table 3 Levels 1&amp;2'!C68,0)&gt;'Table 4 Level 3'!AC65,AC65,ROUND(AB65*'Table 3 Levels 1&amp;2'!C68,0))</f>
        <v>0</v>
      </c>
      <c r="AE65" s="695">
        <f t="shared" si="19"/>
        <v>91600</v>
      </c>
    </row>
    <row r="66" spans="1:31" ht="12.75">
      <c r="A66" s="660">
        <v>61</v>
      </c>
      <c r="B66" s="660" t="s">
        <v>201</v>
      </c>
      <c r="C66" s="23">
        <f>'Table 3 Levels 1&amp;2'!AN69</f>
        <v>8635456</v>
      </c>
      <c r="D66" s="23">
        <f>ROUND(C66/'Table 3 Levels 1&amp;2'!C69,2)</f>
        <v>2366.53</v>
      </c>
      <c r="E66" s="684">
        <f t="shared" si="5"/>
        <v>58</v>
      </c>
      <c r="F66" s="23">
        <v>9273868.8521</v>
      </c>
      <c r="G66" s="685">
        <f t="shared" si="6"/>
        <v>81000</v>
      </c>
      <c r="H66" s="23">
        <f t="shared" si="7"/>
        <v>9192868.8521</v>
      </c>
      <c r="I66" s="23">
        <f t="shared" si="15"/>
        <v>-557412.8520999998</v>
      </c>
      <c r="J66" s="22">
        <f t="shared" si="8"/>
        <v>0</v>
      </c>
      <c r="K66" s="22">
        <f>ROUND(J66/'Table 8 Membership'!W69,0)</f>
        <v>0</v>
      </c>
      <c r="L66" s="22">
        <f t="shared" si="9"/>
        <v>-557412.8520999998</v>
      </c>
      <c r="M66" s="134">
        <f t="shared" si="10"/>
        <v>1</v>
      </c>
      <c r="N66" s="22">
        <v>93063.92100366611</v>
      </c>
      <c r="O66" s="22">
        <f>ROUND(D66*'Table 8 Membership'!Y69*-1,0)</f>
        <v>0</v>
      </c>
      <c r="P66" s="310">
        <f t="shared" si="16"/>
        <v>93063.92100366611</v>
      </c>
      <c r="Q66" s="686">
        <v>300</v>
      </c>
      <c r="R66" s="324">
        <f t="shared" si="11"/>
        <v>274.28</v>
      </c>
      <c r="S66" s="22">
        <f t="shared" si="17"/>
        <v>605895</v>
      </c>
      <c r="T66" s="22">
        <f>IF(S66&gt;0,'Table 3 Levels 1&amp;2'!C69,0)</f>
        <v>3649</v>
      </c>
      <c r="U66" s="134">
        <f>ROUND(S66/'Table 3 Levels 1&amp;2'!C69,0)</f>
        <v>166</v>
      </c>
      <c r="V66" s="134">
        <f t="shared" si="12"/>
        <v>1</v>
      </c>
      <c r="W66" s="22">
        <f t="shared" si="18"/>
        <v>0</v>
      </c>
      <c r="X66" s="687">
        <v>5</v>
      </c>
      <c r="Y66" s="687">
        <f>'[2]Sheet1'!C64</f>
        <v>0</v>
      </c>
      <c r="Z66" s="134">
        <f t="shared" si="13"/>
        <v>-5</v>
      </c>
      <c r="AA66" s="22">
        <f t="shared" si="14"/>
        <v>0</v>
      </c>
      <c r="AB66" s="308">
        <v>0</v>
      </c>
      <c r="AC66" s="308">
        <v>0</v>
      </c>
      <c r="AD66" s="308">
        <f>IF(ROUND(AB66*'Table 3 Levels 1&amp;2'!C69,0)&gt;'Table 4 Level 3'!AC66,AC66,ROUND(AB66*'Table 3 Levels 1&amp;2'!C69,0))</f>
        <v>0</v>
      </c>
      <c r="AE66" s="308">
        <f t="shared" si="19"/>
        <v>605895</v>
      </c>
    </row>
    <row r="67" spans="1:31" ht="12.75">
      <c r="A67" s="660">
        <v>62</v>
      </c>
      <c r="B67" s="660" t="s">
        <v>202</v>
      </c>
      <c r="C67" s="23">
        <f>'Table 3 Levels 1&amp;2'!AN70</f>
        <v>9581539</v>
      </c>
      <c r="D67" s="23">
        <f>ROUND(C67/'Table 3 Levels 1&amp;2'!C70,2)</f>
        <v>3860.41</v>
      </c>
      <c r="E67" s="684">
        <f t="shared" si="5"/>
        <v>25</v>
      </c>
      <c r="F67" s="23">
        <v>9200262.8579</v>
      </c>
      <c r="G67" s="685">
        <f t="shared" si="6"/>
        <v>0</v>
      </c>
      <c r="H67" s="23">
        <f t="shared" si="7"/>
        <v>9200262.8579</v>
      </c>
      <c r="I67" s="23">
        <f t="shared" si="15"/>
        <v>381276.14210000075</v>
      </c>
      <c r="J67" s="22">
        <f t="shared" si="8"/>
        <v>381276.14210000075</v>
      </c>
      <c r="K67" s="22">
        <f>ROUND(J67/'Table 8 Membership'!W70,0)</f>
        <v>153</v>
      </c>
      <c r="L67" s="22">
        <f t="shared" si="9"/>
        <v>0</v>
      </c>
      <c r="M67" s="134">
        <f t="shared" si="10"/>
        <v>0</v>
      </c>
      <c r="N67" s="22">
        <v>92327.570442286</v>
      </c>
      <c r="O67" s="22">
        <f>ROUND(D67*'Table 8 Membership'!Y70*-1,0)</f>
        <v>0</v>
      </c>
      <c r="P67" s="310">
        <f t="shared" si="16"/>
        <v>473603.7125422867</v>
      </c>
      <c r="Q67" s="686">
        <v>214.314285725355</v>
      </c>
      <c r="R67" s="324">
        <f t="shared" si="11"/>
        <v>1953.9</v>
      </c>
      <c r="S67" s="22">
        <f t="shared" si="17"/>
        <v>25718</v>
      </c>
      <c r="T67" s="22">
        <f>IF(S67&gt;0,'Table 3 Levels 1&amp;2'!C70,0)</f>
        <v>2482</v>
      </c>
      <c r="U67" s="134">
        <f>ROUND(S67/'Table 3 Levels 1&amp;2'!C70,0)</f>
        <v>10</v>
      </c>
      <c r="V67" s="134">
        <f t="shared" si="12"/>
        <v>1</v>
      </c>
      <c r="W67" s="22">
        <f t="shared" si="18"/>
        <v>0</v>
      </c>
      <c r="X67" s="687">
        <v>0</v>
      </c>
      <c r="Y67" s="687">
        <f>'[2]Sheet1'!C65</f>
        <v>0</v>
      </c>
      <c r="Z67" s="134">
        <f t="shared" si="13"/>
        <v>0</v>
      </c>
      <c r="AA67" s="22">
        <f t="shared" si="14"/>
        <v>0</v>
      </c>
      <c r="AB67" s="308">
        <v>0</v>
      </c>
      <c r="AC67" s="308">
        <v>0</v>
      </c>
      <c r="AD67" s="308">
        <f>IF(ROUND(AB67*'Table 3 Levels 1&amp;2'!C70,0)&gt;'Table 4 Level 3'!AC67,AC67,ROUND(AB67*'Table 3 Levels 1&amp;2'!C70,0))</f>
        <v>0</v>
      </c>
      <c r="AE67" s="308">
        <f t="shared" si="19"/>
        <v>25718</v>
      </c>
    </row>
    <row r="68" spans="1:31" ht="12.75">
      <c r="A68" s="660">
        <v>63</v>
      </c>
      <c r="B68" s="660" t="s">
        <v>203</v>
      </c>
      <c r="C68" s="23">
        <f>'Table 3 Levels 1&amp;2'!AN71</f>
        <v>1395620</v>
      </c>
      <c r="D68" s="23">
        <f>ROUND(C68/'Table 3 Levels 1&amp;2'!C71,2)</f>
        <v>631.79</v>
      </c>
      <c r="E68" s="684">
        <f t="shared" si="5"/>
        <v>66</v>
      </c>
      <c r="F68" s="23">
        <v>758681.0537</v>
      </c>
      <c r="G68" s="685">
        <f t="shared" si="6"/>
        <v>32400</v>
      </c>
      <c r="H68" s="23">
        <f t="shared" si="7"/>
        <v>726281.0537</v>
      </c>
      <c r="I68" s="23">
        <f t="shared" si="15"/>
        <v>669338.9463</v>
      </c>
      <c r="J68" s="22">
        <f t="shared" si="8"/>
        <v>669338.9463</v>
      </c>
      <c r="K68" s="22">
        <f>ROUND(J68/'Table 8 Membership'!W71,0)</f>
        <v>305</v>
      </c>
      <c r="L68" s="22">
        <f t="shared" si="9"/>
        <v>0</v>
      </c>
      <c r="M68" s="134">
        <f t="shared" si="10"/>
        <v>0</v>
      </c>
      <c r="N68" s="22">
        <v>66906.31386727792</v>
      </c>
      <c r="O68" s="22">
        <f>ROUND(D68*'Table 8 Membership'!Y71*-1,0)</f>
        <v>-10740</v>
      </c>
      <c r="P68" s="310">
        <f t="shared" si="16"/>
        <v>725505.2601672779</v>
      </c>
      <c r="Q68" s="686">
        <v>224</v>
      </c>
      <c r="R68" s="324">
        <f t="shared" si="11"/>
        <v>2863.72</v>
      </c>
      <c r="S68" s="22">
        <f t="shared" si="17"/>
        <v>0</v>
      </c>
      <c r="T68" s="22">
        <f>IF(S68&gt;0,'Table 3 Levels 1&amp;2'!C71,0)</f>
        <v>0</v>
      </c>
      <c r="U68" s="134">
        <f>ROUND(S68/'Table 3 Levels 1&amp;2'!C71,0)</f>
        <v>0</v>
      </c>
      <c r="V68" s="134">
        <f t="shared" si="12"/>
        <v>0</v>
      </c>
      <c r="W68" s="22">
        <f t="shared" si="18"/>
        <v>-203618</v>
      </c>
      <c r="X68" s="687">
        <v>2</v>
      </c>
      <c r="Y68" s="687">
        <f>'[2]Sheet1'!C66</f>
        <v>0</v>
      </c>
      <c r="Z68" s="134">
        <f t="shared" si="13"/>
        <v>-2</v>
      </c>
      <c r="AA68" s="22">
        <f t="shared" si="14"/>
        <v>0</v>
      </c>
      <c r="AB68" s="308">
        <v>2697</v>
      </c>
      <c r="AC68" s="308">
        <v>5908357</v>
      </c>
      <c r="AD68" s="308">
        <f>IF(ROUND(AB68*'Table 3 Levels 1&amp;2'!C71,0)&gt;'Table 4 Level 3'!AC68,AC68,ROUND(AB68*'Table 3 Levels 1&amp;2'!C71,0))</f>
        <v>5908357</v>
      </c>
      <c r="AE68" s="308">
        <f t="shared" si="19"/>
        <v>5704739</v>
      </c>
    </row>
    <row r="69" spans="1:31" ht="12.75">
      <c r="A69" s="660">
        <v>64</v>
      </c>
      <c r="B69" s="660" t="s">
        <v>204</v>
      </c>
      <c r="C69" s="23">
        <f>'Table 3 Levels 1&amp;2'!AN72</f>
        <v>11500357</v>
      </c>
      <c r="D69" s="23">
        <f>ROUND(C69/'Table 3 Levels 1&amp;2'!C72,2)</f>
        <v>4088.29</v>
      </c>
      <c r="E69" s="684">
        <f t="shared" si="5"/>
        <v>13</v>
      </c>
      <c r="F69" s="23">
        <v>11185994.33</v>
      </c>
      <c r="G69" s="685">
        <f t="shared" si="6"/>
        <v>0</v>
      </c>
      <c r="H69" s="23">
        <f t="shared" si="7"/>
        <v>11185994.33</v>
      </c>
      <c r="I69" s="23">
        <f t="shared" si="15"/>
        <v>314362.6699999999</v>
      </c>
      <c r="J69" s="22">
        <f t="shared" si="8"/>
        <v>314362.6699999999</v>
      </c>
      <c r="K69" s="22">
        <f>ROUND(J69/'Table 8 Membership'!W72,0)</f>
        <v>109</v>
      </c>
      <c r="L69" s="22">
        <f t="shared" si="9"/>
        <v>0</v>
      </c>
      <c r="M69" s="134">
        <f t="shared" si="10"/>
        <v>0</v>
      </c>
      <c r="N69" s="22">
        <v>112252.08099243039</v>
      </c>
      <c r="O69" s="22">
        <f>ROUND(D69*'Table 8 Membership'!Y72*-1,0)</f>
        <v>0</v>
      </c>
      <c r="P69" s="310">
        <f t="shared" si="16"/>
        <v>426614.7509924303</v>
      </c>
      <c r="Q69" s="686">
        <v>250.875</v>
      </c>
      <c r="R69" s="324">
        <f t="shared" si="11"/>
        <v>1503.54</v>
      </c>
      <c r="S69" s="22">
        <f t="shared" si="17"/>
        <v>157890</v>
      </c>
      <c r="T69" s="22">
        <f>IF(S69&gt;0,'Table 3 Levels 1&amp;2'!C72,0)</f>
        <v>2813</v>
      </c>
      <c r="U69" s="134">
        <f>ROUND(S69/'Table 3 Levels 1&amp;2'!C72,0)</f>
        <v>56</v>
      </c>
      <c r="V69" s="134">
        <f t="shared" si="12"/>
        <v>1</v>
      </c>
      <c r="W69" s="22">
        <f t="shared" si="18"/>
        <v>0</v>
      </c>
      <c r="X69" s="687">
        <v>0</v>
      </c>
      <c r="Y69" s="687">
        <f>'[2]Sheet1'!C67</f>
        <v>0</v>
      </c>
      <c r="Z69" s="134">
        <f t="shared" si="13"/>
        <v>0</v>
      </c>
      <c r="AA69" s="22">
        <f t="shared" si="14"/>
        <v>0</v>
      </c>
      <c r="AB69" s="308">
        <v>0</v>
      </c>
      <c r="AC69" s="308">
        <v>0</v>
      </c>
      <c r="AD69" s="308">
        <f>IF(ROUND(AB69*'Table 3 Levels 1&amp;2'!C72,0)&gt;'Table 4 Level 3'!AC69,AC69,ROUND(AB69*'Table 3 Levels 1&amp;2'!C72,0))</f>
        <v>0</v>
      </c>
      <c r="AE69" s="308">
        <f t="shared" si="19"/>
        <v>157890</v>
      </c>
    </row>
    <row r="70" spans="1:31" ht="12.75">
      <c r="A70" s="660">
        <v>65</v>
      </c>
      <c r="B70" s="660" t="s">
        <v>205</v>
      </c>
      <c r="C70" s="23">
        <f>'Table 3 Levels 1&amp;2'!AN73</f>
        <v>25976874</v>
      </c>
      <c r="D70" s="23">
        <f>ROUND(C70/'Table 3 Levels 1&amp;2'!C73,2)</f>
        <v>2705.08</v>
      </c>
      <c r="E70" s="684">
        <f t="shared" si="5"/>
        <v>56</v>
      </c>
      <c r="F70" s="23">
        <v>26653994.1642</v>
      </c>
      <c r="G70" s="685">
        <f t="shared" si="6"/>
        <v>32400</v>
      </c>
      <c r="H70" s="23">
        <f t="shared" si="7"/>
        <v>26621594.1642</v>
      </c>
      <c r="I70" s="23">
        <f>C70-H70</f>
        <v>-644720.1642000005</v>
      </c>
      <c r="J70" s="22">
        <f t="shared" si="8"/>
        <v>0</v>
      </c>
      <c r="K70" s="22">
        <f>ROUND(J70/'Table 8 Membership'!W73,0)</f>
        <v>0</v>
      </c>
      <c r="L70" s="22">
        <f t="shared" si="9"/>
        <v>-644720.1642000005</v>
      </c>
      <c r="M70" s="134">
        <f t="shared" si="10"/>
        <v>1</v>
      </c>
      <c r="N70" s="22">
        <v>267469.5182335056</v>
      </c>
      <c r="O70" s="22">
        <f>ROUND(D70*'Table 8 Membership'!Y73*-1,0)</f>
        <v>0</v>
      </c>
      <c r="P70" s="310">
        <f>+N70+J70+O70</f>
        <v>267469.5182335056</v>
      </c>
      <c r="Q70" s="686">
        <v>783.0352379977702</v>
      </c>
      <c r="R70" s="324">
        <f t="shared" si="11"/>
        <v>302.02</v>
      </c>
      <c r="S70" s="22">
        <f>IF(R70&lt;$S$4,ROUND(($S$4-R70)*Q70*1.131,0),0)</f>
        <v>1556890</v>
      </c>
      <c r="T70" s="22">
        <f>IF(S70&gt;0,'Table 3 Levels 1&amp;2'!C73,0)</f>
        <v>9603</v>
      </c>
      <c r="U70" s="134">
        <f>ROUND(S70/'Table 3 Levels 1&amp;2'!C73,0)</f>
        <v>162</v>
      </c>
      <c r="V70" s="134">
        <f t="shared" si="12"/>
        <v>1</v>
      </c>
      <c r="W70" s="22">
        <f t="shared" si="18"/>
        <v>0</v>
      </c>
      <c r="X70" s="687">
        <v>2</v>
      </c>
      <c r="Y70" s="687">
        <f>'[2]Sheet1'!C68</f>
        <v>0</v>
      </c>
      <c r="Z70" s="134">
        <f t="shared" si="13"/>
        <v>-2</v>
      </c>
      <c r="AA70" s="22">
        <f t="shared" si="14"/>
        <v>0</v>
      </c>
      <c r="AB70" s="308">
        <v>0</v>
      </c>
      <c r="AC70" s="308">
        <v>0</v>
      </c>
      <c r="AD70" s="308">
        <f>IF(ROUND(AB70*'Table 3 Levels 1&amp;2'!C73,0)&gt;'Table 4 Level 3'!AC70,AC70,ROUND(AB70*'Table 3 Levels 1&amp;2'!C73,0))</f>
        <v>0</v>
      </c>
      <c r="AE70" s="308">
        <f>S70+W70+AA70+AD70</f>
        <v>1556890</v>
      </c>
    </row>
    <row r="71" spans="1:31" ht="12.75">
      <c r="A71" s="661">
        <v>66</v>
      </c>
      <c r="B71" s="661" t="s">
        <v>206</v>
      </c>
      <c r="C71" s="24">
        <f>'Table 3 Levels 1&amp;2'!AN74</f>
        <v>12827497</v>
      </c>
      <c r="D71" s="24">
        <f>ROUND(C71/'Table 3 Levels 1&amp;2'!C74,2)</f>
        <v>4248.92</v>
      </c>
      <c r="E71" s="688">
        <f>RANK(D71,$D$6:$D$71)</f>
        <v>9</v>
      </c>
      <c r="F71" s="24">
        <v>12181109.6782</v>
      </c>
      <c r="G71" s="689">
        <f>ROUND($G$4*X71,0)</f>
        <v>16200</v>
      </c>
      <c r="H71" s="434">
        <f>+F71-G71</f>
        <v>12164909.6782</v>
      </c>
      <c r="I71" s="24">
        <f>C71-H71</f>
        <v>662587.3217999991</v>
      </c>
      <c r="J71" s="369">
        <f>IF(I71&gt;0,I71,0)</f>
        <v>662587.3217999991</v>
      </c>
      <c r="K71" s="369">
        <f>ROUND(J71/'Table 8 Membership'!W74,0)</f>
        <v>216</v>
      </c>
      <c r="L71" s="369">
        <f>IF(I71&lt;0,I71,0)</f>
        <v>0</v>
      </c>
      <c r="M71" s="309">
        <f>IF(L71&lt;0,1,0)</f>
        <v>0</v>
      </c>
      <c r="N71" s="369">
        <v>122238.35884382723</v>
      </c>
      <c r="O71" s="369">
        <f>ROUND(D71*'Table 8 Membership'!Y74*-1,0)</f>
        <v>0</v>
      </c>
      <c r="P71" s="690">
        <f>+N71+J71+O71</f>
        <v>784825.6806438264</v>
      </c>
      <c r="Q71" s="691">
        <v>271.5859523415563</v>
      </c>
      <c r="R71" s="692">
        <f>ROUND((P71/1.131)/Q71,2)</f>
        <v>2555.07</v>
      </c>
      <c r="S71" s="369">
        <f>IF(R71&lt;$S$4,ROUND(($S$4-R71)*Q71*1.131,0),0)</f>
        <v>0</v>
      </c>
      <c r="T71" s="369">
        <f>IF(S71&gt;0,'Table 3 Levels 1&amp;2'!C74,0)</f>
        <v>0</v>
      </c>
      <c r="U71" s="309">
        <f>ROUND(S71/'Table 3 Levels 1&amp;2'!C74,0)</f>
        <v>0</v>
      </c>
      <c r="V71" s="309">
        <f>IF(S71&gt;0,1,0)</f>
        <v>0</v>
      </c>
      <c r="W71" s="369">
        <f t="shared" si="18"/>
        <v>-152068</v>
      </c>
      <c r="X71" s="693">
        <v>1</v>
      </c>
      <c r="Y71" s="694">
        <f>'[2]Sheet1'!C69</f>
        <v>0</v>
      </c>
      <c r="Z71" s="309">
        <f>+Y71-X71</f>
        <v>-1</v>
      </c>
      <c r="AA71" s="369">
        <f>ROUND($AA$4*Y71,0)</f>
        <v>0</v>
      </c>
      <c r="AB71" s="695">
        <v>0</v>
      </c>
      <c r="AC71" s="695">
        <v>0</v>
      </c>
      <c r="AD71" s="695">
        <f>IF(ROUND(AB71*'Table 3 Levels 1&amp;2'!C74,0)&gt;'Table 4 Level 3'!AC71,AC71,ROUND(AB71*'Table 3 Levels 1&amp;2'!C74,0))</f>
        <v>0</v>
      </c>
      <c r="AE71" s="695">
        <f>S71+W71+AA71+AD71</f>
        <v>-152068</v>
      </c>
    </row>
    <row r="72" spans="1:31" ht="15.75" customHeight="1">
      <c r="A72" s="20"/>
      <c r="B72" s="20"/>
      <c r="C72" s="21"/>
      <c r="D72" s="23"/>
      <c r="E72" s="313"/>
      <c r="F72" s="23"/>
      <c r="G72" s="131"/>
      <c r="H72" s="131"/>
      <c r="I72" s="768"/>
      <c r="J72" s="356"/>
      <c r="K72" s="22"/>
      <c r="L72" s="22"/>
      <c r="M72" s="325"/>
      <c r="N72" s="22"/>
      <c r="O72" s="22"/>
      <c r="P72" s="310"/>
      <c r="Q72" s="134"/>
      <c r="R72" s="324"/>
      <c r="S72" s="22"/>
      <c r="T72" s="22"/>
      <c r="U72" s="134"/>
      <c r="V72" s="134"/>
      <c r="W72" s="22"/>
      <c r="X72" s="134"/>
      <c r="Y72" s="134"/>
      <c r="Z72" s="134"/>
      <c r="AA72" s="22"/>
      <c r="AB72" s="308"/>
      <c r="AC72" s="308"/>
      <c r="AD72" s="308"/>
      <c r="AE72" s="308"/>
    </row>
    <row r="73" spans="1:31" s="13" customFormat="1" ht="13.5" thickBot="1">
      <c r="A73" s="696"/>
      <c r="B73" s="697" t="s">
        <v>207</v>
      </c>
      <c r="C73" s="698">
        <f>SUM(C6:C71)</f>
        <v>2249487756</v>
      </c>
      <c r="D73" s="698">
        <f>ROUND(C73/'Table 3 Levels 1&amp;2'!C76,2)</f>
        <v>3150.45</v>
      </c>
      <c r="E73" s="699"/>
      <c r="F73" s="698">
        <f>SUM(F6:F71)</f>
        <v>2196762544.717299</v>
      </c>
      <c r="G73" s="700">
        <f>SUM(G6:G71)</f>
        <v>4244400</v>
      </c>
      <c r="H73" s="698">
        <f>SUM(H6:H71)</f>
        <v>2192518144.717299</v>
      </c>
      <c r="I73" s="769">
        <f>SUM(I6:I71)</f>
        <v>56969611.282700025</v>
      </c>
      <c r="J73" s="767">
        <f>SUM(J6:J71)</f>
        <v>67806680.2814</v>
      </c>
      <c r="K73" s="698">
        <f>ROUND(J73/'Table 8 Membership'!W75,0)</f>
        <v>94</v>
      </c>
      <c r="L73" s="698">
        <f aca="true" t="shared" si="20" ref="L73:Q73">SUM(L6:L71)</f>
        <v>-10837068.998699985</v>
      </c>
      <c r="M73" s="701">
        <f t="shared" si="20"/>
        <v>16</v>
      </c>
      <c r="N73" s="698">
        <f t="shared" si="20"/>
        <v>22923820.99999999</v>
      </c>
      <c r="O73" s="698">
        <f t="shared" si="20"/>
        <v>-4090455</v>
      </c>
      <c r="P73" s="702">
        <f t="shared" si="20"/>
        <v>86640046.2814</v>
      </c>
      <c r="Q73" s="703">
        <f t="shared" si="20"/>
        <v>58989.178951248534</v>
      </c>
      <c r="R73" s="704">
        <f>ROUND((P73/1.131)/Q73,2)</f>
        <v>1298.62</v>
      </c>
      <c r="S73" s="698">
        <f>SUM(S6:S71)</f>
        <v>62042112</v>
      </c>
      <c r="T73" s="698">
        <f>SUM(T6:T71)</f>
        <v>587657</v>
      </c>
      <c r="U73" s="701">
        <f>ROUND(S73/T73,0)</f>
        <v>106</v>
      </c>
      <c r="V73" s="701">
        <f aca="true" t="shared" si="21" ref="V73:AA73">SUM(V6:V71)</f>
        <v>50</v>
      </c>
      <c r="W73" s="698">
        <f t="shared" si="21"/>
        <v>-11245602</v>
      </c>
      <c r="X73" s="701">
        <f t="shared" si="21"/>
        <v>262</v>
      </c>
      <c r="Y73" s="701">
        <f t="shared" si="21"/>
        <v>275</v>
      </c>
      <c r="Z73" s="701">
        <f t="shared" si="21"/>
        <v>13</v>
      </c>
      <c r="AA73" s="698">
        <f t="shared" si="21"/>
        <v>4244400</v>
      </c>
      <c r="AB73" s="698">
        <v>506.95766452135865</v>
      </c>
      <c r="AC73" s="698">
        <f>SUM(AC6:AC71)</f>
        <v>86930565</v>
      </c>
      <c r="AD73" s="698">
        <f>SUM(AD6:AD71)</f>
        <v>85510805</v>
      </c>
      <c r="AE73" s="698">
        <f>SUM(AE6:AE71)</f>
        <v>140551715</v>
      </c>
    </row>
    <row r="74" spans="1:23" s="13" customFormat="1" ht="13.5" thickTop="1">
      <c r="A74" s="149"/>
      <c r="B74" s="150"/>
      <c r="C74" s="151"/>
      <c r="D74" s="151"/>
      <c r="E74" s="151"/>
      <c r="F74" s="151"/>
      <c r="H74" s="151"/>
      <c r="I74" s="151"/>
      <c r="J74" s="140"/>
      <c r="K74" s="140"/>
      <c r="L74" s="140"/>
      <c r="M74" s="140"/>
      <c r="N74" s="140"/>
      <c r="O74" s="140"/>
      <c r="P74" s="140"/>
      <c r="Q74" s="12"/>
      <c r="R74" s="12"/>
      <c r="W74" s="12"/>
    </row>
    <row r="75" spans="17:18" ht="12.75">
      <c r="Q75" s="321">
        <f>Q73*2000*1.131</f>
        <v>133433522.78772418</v>
      </c>
      <c r="R75" s="322">
        <f>+Q75+'Table 1 State Summary'!O46</f>
        <v>110509701.7877242</v>
      </c>
    </row>
    <row r="76" spans="5:27" ht="12.75">
      <c r="E76" s="2" t="s">
        <v>503</v>
      </c>
      <c r="F76" s="58" t="e">
        <f>'Table 1 State Summary'!M38</f>
        <v>#REF!</v>
      </c>
      <c r="G76" s="2" t="s">
        <v>681</v>
      </c>
      <c r="H76" s="58">
        <f>'Table 1 State Summary'!O38</f>
        <v>2284618903.352128</v>
      </c>
      <c r="J76" s="58">
        <f>+J73+L73</f>
        <v>56969611.28270001</v>
      </c>
      <c r="Q76" s="322">
        <f>+Q75-S73</f>
        <v>71391410.78772418</v>
      </c>
      <c r="S76" s="2">
        <f>+W73/Q73/1.131</f>
        <v>-168.55737246614297</v>
      </c>
      <c r="W76" s="8">
        <f>+P73-W73+S73</f>
        <v>159927760.2814</v>
      </c>
      <c r="AA76" s="58">
        <v>4244400</v>
      </c>
    </row>
    <row r="77" spans="5:17" ht="13.5" thickBot="1">
      <c r="E77" s="2" t="s">
        <v>502</v>
      </c>
      <c r="F77" s="58" t="e">
        <f>+F76-F73</f>
        <v>#REF!</v>
      </c>
      <c r="G77" s="187">
        <v>4244400</v>
      </c>
      <c r="H77" s="58">
        <f>+H76-H73</f>
        <v>92100758.63482904</v>
      </c>
      <c r="P77" s="322">
        <f>-O73+Q77</f>
        <v>19339090.493675813</v>
      </c>
      <c r="Q77" s="322">
        <f>+P73-Q76</f>
        <v>15248635.493675813</v>
      </c>
    </row>
    <row r="78" spans="17:27" ht="13.5" thickTop="1">
      <c r="Q78" s="323">
        <f>+Q77-W73</f>
        <v>26494237.493675813</v>
      </c>
      <c r="AA78" s="2">
        <f>AA73/Y73</f>
        <v>15434.181818181818</v>
      </c>
    </row>
    <row r="79" spans="6:16" ht="12.75">
      <c r="F79" s="58" t="e">
        <f>+F76-F77</f>
        <v>#REF!</v>
      </c>
      <c r="H79" s="58">
        <f>+H76-H77</f>
        <v>2192518144.717299</v>
      </c>
      <c r="P79" s="322"/>
    </row>
    <row r="80" spans="6:8" ht="12.75">
      <c r="F80" s="2">
        <v>2196762544.828328</v>
      </c>
      <c r="H80" s="2">
        <v>2196762544.828328</v>
      </c>
    </row>
    <row r="81" spans="6:8" ht="12.75">
      <c r="F81" s="58">
        <f>+F73-F80</f>
        <v>-0.11102914810180664</v>
      </c>
      <c r="H81" s="58">
        <f>+H73-H80</f>
        <v>-4244400.111029148</v>
      </c>
    </row>
    <row r="82" spans="5:8" ht="12.75">
      <c r="E82" s="2" t="s">
        <v>504</v>
      </c>
      <c r="F82" s="58">
        <f>'Table 1 State Summary'!M46</f>
        <v>0</v>
      </c>
      <c r="H82" s="58">
        <f>'Table 1 State Summary'!O46</f>
        <v>-22923820.99999999</v>
      </c>
    </row>
    <row r="83" spans="5:8" ht="12.75">
      <c r="E83" s="2" t="s">
        <v>505</v>
      </c>
      <c r="F83" s="58" t="e">
        <f>+F79+F82</f>
        <v>#REF!</v>
      </c>
      <c r="H83" s="58">
        <f>+H79+H82</f>
        <v>2169594323.717299</v>
      </c>
    </row>
    <row r="84" spans="6:8" ht="12.75">
      <c r="F84" s="58">
        <f>+F73+'Table 1 State Summary'!M46</f>
        <v>2196762544.717299</v>
      </c>
      <c r="H84" s="58">
        <f>+H73+'Table 1 State Summary'!O46</f>
        <v>2169594323.717299</v>
      </c>
    </row>
  </sheetData>
  <mergeCells count="9">
    <mergeCell ref="AB1:AD1"/>
    <mergeCell ref="J1:P1"/>
    <mergeCell ref="C1:I1"/>
    <mergeCell ref="Q1:V1"/>
    <mergeCell ref="X1:AA1"/>
    <mergeCell ref="AB3:AB4"/>
    <mergeCell ref="V3:V4"/>
    <mergeCell ref="H3:H4"/>
    <mergeCell ref="I3:I4"/>
  </mergeCells>
  <printOptions horizontalCentered="1"/>
  <pageMargins left="0.44" right="0.39" top="0.84" bottom="0.77" header="0.25" footer="0.35"/>
  <pageSetup firstPageNumber="10" useFirstPageNumber="1" horizontalDpi="600" verticalDpi="600" orientation="portrait" paperSize="5" scale="80" r:id="rId2"/>
  <headerFooter alignWithMargins="0">
    <oddHeader>&amp;L&amp;"Arial,Bold"&amp;16TABLE 4 - - FY 2001-2002 MFP  LEVEL 3 MINIMUM PAY RAISE AND HOLD HARMLESS</oddHeader>
    <oddFooter>&amp;L&amp;F, &amp;A&amp;R&amp;P</oddFooter>
  </headerFooter>
  <colBreaks count="2" manualBreakCount="2">
    <brk id="16" max="71" man="1"/>
    <brk id="23" max="7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6.00390625" style="0" customWidth="1"/>
    <col min="3" max="3" width="11.7109375" style="0" customWidth="1"/>
    <col min="4" max="4" width="12.7109375" style="0" customWidth="1"/>
    <col min="5" max="5" width="16.28125" style="0" customWidth="1"/>
    <col min="6" max="6" width="0.2890625" style="0" hidden="1" customWidth="1"/>
    <col min="7" max="7" width="13.28125" style="0" customWidth="1"/>
    <col min="8" max="8" width="11.57421875" style="0" hidden="1" customWidth="1"/>
    <col min="9" max="9" width="13.7109375" style="0" customWidth="1"/>
    <col min="10" max="10" width="12.7109375" style="0" customWidth="1"/>
    <col min="11" max="11" width="12.00390625" style="0" bestFit="1" customWidth="1"/>
  </cols>
  <sheetData>
    <row r="1" ht="25.5">
      <c r="A1" s="292"/>
    </row>
    <row r="2" spans="1:11" ht="25.5">
      <c r="A2" s="872" t="s">
        <v>651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2:11" ht="59.25" customHeight="1">
      <c r="B3" s="451" t="s">
        <v>0</v>
      </c>
      <c r="C3" s="451" t="s">
        <v>640</v>
      </c>
      <c r="D3" s="450" t="s">
        <v>641</v>
      </c>
      <c r="E3" s="451" t="s">
        <v>734</v>
      </c>
      <c r="F3" s="451" t="s">
        <v>706</v>
      </c>
      <c r="G3" s="450"/>
      <c r="H3" s="450"/>
      <c r="J3" s="450"/>
      <c r="K3" s="451" t="s">
        <v>735</v>
      </c>
    </row>
    <row r="4" spans="1:11" ht="14.25">
      <c r="A4" s="397"/>
      <c r="B4" s="290"/>
      <c r="C4" s="290"/>
      <c r="D4" s="290"/>
      <c r="E4" s="705" t="s">
        <v>671</v>
      </c>
      <c r="F4" s="706" t="s">
        <v>671</v>
      </c>
      <c r="G4" s="290"/>
      <c r="H4" s="290"/>
      <c r="I4" s="290"/>
      <c r="J4" s="290"/>
      <c r="K4" s="397"/>
    </row>
    <row r="5" spans="1:11" ht="63.75" customHeight="1">
      <c r="A5" s="289" t="s">
        <v>409</v>
      </c>
      <c r="B5" s="470" t="s">
        <v>638</v>
      </c>
      <c r="C5" s="470" t="s">
        <v>720</v>
      </c>
      <c r="D5" s="289" t="s">
        <v>264</v>
      </c>
      <c r="E5" s="470" t="s">
        <v>721</v>
      </c>
      <c r="F5" s="470" t="s">
        <v>672</v>
      </c>
      <c r="G5" s="289" t="s">
        <v>675</v>
      </c>
      <c r="H5" s="289" t="s">
        <v>680</v>
      </c>
      <c r="I5" s="470" t="s">
        <v>678</v>
      </c>
      <c r="J5" s="289" t="s">
        <v>676</v>
      </c>
      <c r="K5" s="707" t="s">
        <v>677</v>
      </c>
    </row>
    <row r="6" spans="1:11" ht="15" customHeight="1">
      <c r="A6" s="398"/>
      <c r="B6" s="291"/>
      <c r="C6" s="291"/>
      <c r="D6" s="291"/>
      <c r="E6" s="766">
        <v>3110</v>
      </c>
      <c r="F6" s="708">
        <f>ROUND(-E6+'[9]Table 3 Distribution W Adj'!$F$76,0)</f>
        <v>0</v>
      </c>
      <c r="G6" s="291"/>
      <c r="H6" s="291"/>
      <c r="I6" s="291"/>
      <c r="J6" s="291"/>
      <c r="K6" s="291"/>
    </row>
    <row r="7" spans="1:11" ht="12.75">
      <c r="A7" s="765"/>
      <c r="B7" s="456" t="s">
        <v>131</v>
      </c>
      <c r="C7" s="456" t="s">
        <v>373</v>
      </c>
      <c r="D7" s="456" t="s">
        <v>132</v>
      </c>
      <c r="E7" s="456" t="s">
        <v>133</v>
      </c>
      <c r="F7" s="456" t="s">
        <v>134</v>
      </c>
      <c r="G7" s="456" t="s">
        <v>134</v>
      </c>
      <c r="H7" s="475" t="s">
        <v>679</v>
      </c>
      <c r="I7" s="456" t="s">
        <v>135</v>
      </c>
      <c r="J7" s="456" t="s">
        <v>136</v>
      </c>
      <c r="K7" s="456" t="s">
        <v>137</v>
      </c>
    </row>
    <row r="8" spans="1:11" ht="12.75">
      <c r="A8" s="28" t="s">
        <v>480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</row>
    <row r="9" spans="1:11" ht="12.75">
      <c r="A9" s="214" t="s">
        <v>479</v>
      </c>
      <c r="B9" s="471">
        <f>+'Table 8 Membership'!U80</f>
        <v>811</v>
      </c>
      <c r="C9" s="293">
        <f>'Table 3 Levels 1&amp;2'!AT76</f>
        <v>3347.3</v>
      </c>
      <c r="D9" s="293">
        <f>B9*C9</f>
        <v>2714660.3000000003</v>
      </c>
      <c r="E9" s="710">
        <f>ROUND(E6*F35,0)</f>
        <v>0</v>
      </c>
      <c r="F9" s="710">
        <f>ROUND(F6*E35,0)</f>
        <v>0</v>
      </c>
      <c r="G9" s="293">
        <f>+F9+E9+D9</f>
        <v>2714660.3000000003</v>
      </c>
      <c r="H9" s="476">
        <v>227891</v>
      </c>
      <c r="I9" s="476">
        <f>ROUND(H9*8,0)</f>
        <v>1823128</v>
      </c>
      <c r="J9" s="293">
        <f>+G9-I9</f>
        <v>891532.3000000003</v>
      </c>
      <c r="K9" s="293">
        <f>ROUND(J9/4,0)</f>
        <v>222883</v>
      </c>
    </row>
    <row r="10" spans="1:11" ht="20.25" customHeight="1">
      <c r="A10" s="32" t="s">
        <v>478</v>
      </c>
      <c r="B10" s="287"/>
      <c r="C10" s="294"/>
      <c r="D10" s="294"/>
      <c r="E10" s="711"/>
      <c r="F10" s="711"/>
      <c r="G10" s="294"/>
      <c r="H10" s="294"/>
      <c r="I10" s="294"/>
      <c r="J10" s="294"/>
      <c r="K10" s="294"/>
    </row>
    <row r="11" spans="1:11" ht="12.75">
      <c r="A11" s="234" t="s">
        <v>479</v>
      </c>
      <c r="B11" s="471">
        <f>+'Table 8 Membership'!U81</f>
        <v>476</v>
      </c>
      <c r="C11" s="293">
        <f>'Table 3 Levels 1&amp;2'!AT76</f>
        <v>3347.3</v>
      </c>
      <c r="D11" s="57">
        <f>B11*C11</f>
        <v>1593314.8</v>
      </c>
      <c r="E11" s="710">
        <f>ROUND(E6*F36,0)</f>
        <v>9330</v>
      </c>
      <c r="F11" s="710">
        <f>ROUND(F6*E36,0)</f>
        <v>0</v>
      </c>
      <c r="G11" s="293">
        <f>+F11+E11+D11</f>
        <v>1602644.8</v>
      </c>
      <c r="H11" s="476">
        <v>138741</v>
      </c>
      <c r="I11" s="709">
        <f>ROUND(H11*8,0)</f>
        <v>1109928</v>
      </c>
      <c r="J11" s="293">
        <f>+G11-I11</f>
        <v>492716.80000000005</v>
      </c>
      <c r="K11" s="293">
        <f>ROUND(J11/4,0)</f>
        <v>123179</v>
      </c>
    </row>
    <row r="12" spans="1:11" s="13" customFormat="1" ht="25.5" customHeight="1" thickBot="1">
      <c r="A12" s="183" t="s">
        <v>265</v>
      </c>
      <c r="B12" s="468">
        <f>SUM(B9:B11)</f>
        <v>1287</v>
      </c>
      <c r="C12" s="198"/>
      <c r="D12" s="185">
        <f aca="true" t="shared" si="0" ref="D12:K12">SUM(D9:D11)</f>
        <v>4307975.100000001</v>
      </c>
      <c r="E12" s="185">
        <f t="shared" si="0"/>
        <v>9330</v>
      </c>
      <c r="F12" s="185">
        <f t="shared" si="0"/>
        <v>0</v>
      </c>
      <c r="G12" s="185">
        <f t="shared" si="0"/>
        <v>4317305.100000001</v>
      </c>
      <c r="H12" s="610">
        <f t="shared" si="0"/>
        <v>366632</v>
      </c>
      <c r="I12" s="610">
        <f t="shared" si="0"/>
        <v>2933056</v>
      </c>
      <c r="J12" s="185">
        <f t="shared" si="0"/>
        <v>1384249.1000000003</v>
      </c>
      <c r="K12" s="185">
        <f t="shared" si="0"/>
        <v>346062</v>
      </c>
    </row>
    <row r="13" spans="1:11" s="13" customFormat="1" ht="15" customHeight="1" thickTop="1">
      <c r="A13" s="613"/>
      <c r="B13" s="614"/>
      <c r="C13" s="615"/>
      <c r="D13" s="616"/>
      <c r="E13" s="616"/>
      <c r="F13" s="616"/>
      <c r="G13" s="616"/>
      <c r="H13" s="617"/>
      <c r="I13" s="712"/>
      <c r="J13" s="616"/>
      <c r="K13" s="616"/>
    </row>
    <row r="14" spans="1:11" s="13" customFormat="1" ht="15" customHeight="1">
      <c r="A14" s="613"/>
      <c r="B14" s="614"/>
      <c r="C14" s="615"/>
      <c r="D14" s="616"/>
      <c r="E14" s="618" t="s">
        <v>692</v>
      </c>
      <c r="F14" s="616">
        <f>+F12+E12</f>
        <v>9330</v>
      </c>
      <c r="G14" s="616"/>
      <c r="H14" s="617"/>
      <c r="I14" s="712"/>
      <c r="J14" s="616"/>
      <c r="K14" s="616"/>
    </row>
    <row r="16" spans="1:15" ht="12.75">
      <c r="A16" s="713"/>
      <c r="B16" s="714"/>
      <c r="C16" s="714"/>
      <c r="D16" s="714"/>
      <c r="E16" s="714"/>
      <c r="F16" s="714"/>
      <c r="G16" s="714"/>
      <c r="H16" s="714"/>
      <c r="I16" s="714"/>
      <c r="J16" s="714"/>
      <c r="K16" s="715"/>
      <c r="L16" s="117"/>
      <c r="M16" s="117"/>
      <c r="N16" s="117"/>
      <c r="O16" s="295"/>
    </row>
    <row r="17" spans="1:16" ht="12.75" customHeight="1">
      <c r="A17" s="716" t="s">
        <v>673</v>
      </c>
      <c r="B17" s="717"/>
      <c r="C17" s="717"/>
      <c r="D17" s="717"/>
      <c r="E17" s="717"/>
      <c r="F17" s="717"/>
      <c r="G17" s="717"/>
      <c r="H17" s="717"/>
      <c r="I17" s="717"/>
      <c r="J17" s="717"/>
      <c r="K17" s="718"/>
      <c r="L17" s="435"/>
      <c r="M17" s="435"/>
      <c r="N17" s="435"/>
      <c r="O17" s="435"/>
      <c r="P17" s="435"/>
    </row>
    <row r="18" spans="1:11" ht="12.75">
      <c r="A18" s="719" t="s">
        <v>674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8"/>
    </row>
    <row r="19" spans="1:11" ht="12.75">
      <c r="A19" s="720"/>
      <c r="B19" s="717"/>
      <c r="C19" s="717"/>
      <c r="D19" s="717"/>
      <c r="E19" s="717"/>
      <c r="F19" s="717"/>
      <c r="G19" s="717"/>
      <c r="H19" s="717"/>
      <c r="I19" s="717"/>
      <c r="J19" s="717"/>
      <c r="K19" s="718"/>
    </row>
    <row r="20" spans="1:11" ht="13.5">
      <c r="A20" s="716" t="s">
        <v>687</v>
      </c>
      <c r="B20" s="717"/>
      <c r="C20" s="717"/>
      <c r="D20" s="717"/>
      <c r="E20" s="717"/>
      <c r="F20" s="717"/>
      <c r="G20" s="717"/>
      <c r="H20" s="717"/>
      <c r="I20" s="717"/>
      <c r="J20" s="717"/>
      <c r="K20" s="718"/>
    </row>
    <row r="21" spans="1:11" ht="12.75">
      <c r="A21" s="720"/>
      <c r="B21" s="717"/>
      <c r="C21" s="717"/>
      <c r="D21" s="717"/>
      <c r="E21" s="717"/>
      <c r="F21" s="717"/>
      <c r="G21" s="717"/>
      <c r="H21" s="717"/>
      <c r="I21" s="717"/>
      <c r="J21" s="717"/>
      <c r="K21" s="718"/>
    </row>
    <row r="22" spans="1:11" ht="13.5">
      <c r="A22" s="869" t="s">
        <v>697</v>
      </c>
      <c r="B22" s="870"/>
      <c r="C22" s="870"/>
      <c r="D22" s="870"/>
      <c r="E22" s="870"/>
      <c r="F22" s="870"/>
      <c r="G22" s="870"/>
      <c r="H22" s="870"/>
      <c r="I22" s="870"/>
      <c r="J22" s="870"/>
      <c r="K22" s="871"/>
    </row>
    <row r="23" spans="1:11" ht="12.75">
      <c r="A23" s="720"/>
      <c r="B23" s="717"/>
      <c r="C23" s="717"/>
      <c r="D23" s="717"/>
      <c r="E23" s="717"/>
      <c r="F23" s="717"/>
      <c r="G23" s="717"/>
      <c r="H23" s="717"/>
      <c r="I23" s="717"/>
      <c r="J23" s="717"/>
      <c r="K23" s="718"/>
    </row>
    <row r="24" spans="1:11" ht="12.75">
      <c r="A24" s="721"/>
      <c r="B24" s="722"/>
      <c r="C24" s="722"/>
      <c r="D24" s="722"/>
      <c r="E24" s="722"/>
      <c r="F24" s="722"/>
      <c r="G24" s="722"/>
      <c r="H24" s="722"/>
      <c r="I24" s="722"/>
      <c r="J24" s="722"/>
      <c r="K24" s="723"/>
    </row>
    <row r="25" spans="1:11" ht="12.75">
      <c r="A25" s="461"/>
      <c r="B25" s="461"/>
      <c r="C25" s="461"/>
      <c r="D25" s="461"/>
      <c r="E25" s="461"/>
      <c r="F25" s="461"/>
      <c r="G25" s="461"/>
      <c r="H25" s="461"/>
      <c r="I25" s="461"/>
      <c r="J25" s="461"/>
      <c r="K25" s="461"/>
    </row>
    <row r="26" spans="1:11" ht="12.75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</row>
    <row r="27" spans="1:11" ht="38.25">
      <c r="A27" s="461"/>
      <c r="B27" s="461"/>
      <c r="C27" s="461"/>
      <c r="D27" s="461"/>
      <c r="E27" s="461"/>
      <c r="F27" s="461"/>
      <c r="G27" s="461"/>
      <c r="H27" s="635"/>
      <c r="I27" s="368" t="s">
        <v>539</v>
      </c>
      <c r="J27" s="635"/>
      <c r="K27" s="635"/>
    </row>
    <row r="28" spans="8:11" ht="12.75">
      <c r="H28" s="117"/>
      <c r="I28" s="636"/>
      <c r="J28" s="117"/>
      <c r="K28" s="117"/>
    </row>
    <row r="29" spans="8:11" ht="13.5" thickBot="1">
      <c r="H29" s="117"/>
      <c r="I29" s="636"/>
      <c r="J29" s="637"/>
      <c r="K29" s="117"/>
    </row>
    <row r="30" spans="2:6" ht="12.75">
      <c r="B30" s="626" t="s">
        <v>698</v>
      </c>
      <c r="C30" s="619"/>
      <c r="D30" s="619"/>
      <c r="E30" s="620"/>
      <c r="F30" s="620"/>
    </row>
    <row r="31" spans="2:6" ht="12.75">
      <c r="B31" s="522"/>
      <c r="C31" s="117"/>
      <c r="D31" s="117"/>
      <c r="E31" s="516"/>
      <c r="F31" s="516"/>
    </row>
    <row r="32" spans="2:6" ht="12.75">
      <c r="B32" s="522"/>
      <c r="C32" s="117"/>
      <c r="D32" s="627" t="s">
        <v>701</v>
      </c>
      <c r="E32" s="823" t="s">
        <v>703</v>
      </c>
      <c r="F32" s="629"/>
    </row>
    <row r="33" spans="2:6" ht="12.75">
      <c r="B33" s="522"/>
      <c r="C33" s="117"/>
      <c r="D33" s="628" t="s">
        <v>705</v>
      </c>
      <c r="E33" s="823" t="s">
        <v>705</v>
      </c>
      <c r="F33" s="629"/>
    </row>
    <row r="34" spans="2:6" ht="12.75">
      <c r="B34" s="522"/>
      <c r="C34" s="117"/>
      <c r="D34" s="630" t="s">
        <v>702</v>
      </c>
      <c r="E34" s="631" t="s">
        <v>702</v>
      </c>
      <c r="F34" s="631" t="s">
        <v>704</v>
      </c>
    </row>
    <row r="35" spans="2:6" ht="12.75">
      <c r="B35" s="522" t="s">
        <v>699</v>
      </c>
      <c r="C35" s="117"/>
      <c r="D35" s="621">
        <f>+'[6]EOY comparison included'!B72</f>
        <v>818</v>
      </c>
      <c r="E35" s="622">
        <f>'[10]Sheet1'!$N$72</f>
        <v>818</v>
      </c>
      <c r="F35" s="622">
        <f>+E35-D35</f>
        <v>0</v>
      </c>
    </row>
    <row r="36" spans="2:6" ht="12.75">
      <c r="B36" s="522" t="s">
        <v>700</v>
      </c>
      <c r="C36" s="117"/>
      <c r="D36" s="621">
        <f>+'[6]EOY comparison included'!B73</f>
        <v>498</v>
      </c>
      <c r="E36" s="622">
        <f>'[10]Sheet1'!$N$73</f>
        <v>501</v>
      </c>
      <c r="F36" s="622">
        <f>+E36-D36</f>
        <v>3</v>
      </c>
    </row>
    <row r="37" spans="2:6" ht="13.5" thickBot="1">
      <c r="B37" s="623"/>
      <c r="C37" s="624"/>
      <c r="D37" s="624"/>
      <c r="E37" s="625"/>
      <c r="F37" s="625"/>
    </row>
  </sheetData>
  <mergeCells count="2">
    <mergeCell ref="A22:K22"/>
    <mergeCell ref="A2:K2"/>
  </mergeCells>
  <printOptions horizontalCentered="1"/>
  <pageMargins left="0.5" right="0.25" top="0.5" bottom="0.5" header="0.25" footer="0.25"/>
  <pageSetup firstPageNumber="14" useFirstPageNumber="1" fitToHeight="1" fitToWidth="1" horizontalDpi="600" verticalDpi="600" orientation="landscape" paperSize="5" scale="88" r:id="rId1"/>
  <headerFooter alignWithMargins="0">
    <oddHeader>&amp;L&amp;"Arial,Bold"&amp;14REVISED&amp;R
</oddHeader>
    <oddFooter>&amp;L&amp;9&amp;F, &amp;A, Prepared by Division of Education Finance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77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21.28125" style="0" customWidth="1"/>
    <col min="3" max="3" width="14.57421875" style="0" customWidth="1"/>
    <col min="4" max="4" width="17.00390625" style="0" customWidth="1"/>
    <col min="5" max="5" width="9.421875" style="0" customWidth="1"/>
    <col min="6" max="6" width="16.28125" style="0" customWidth="1"/>
    <col min="7" max="7" width="9.421875" style="0" customWidth="1"/>
    <col min="8" max="8" width="21.00390625" style="0" customWidth="1"/>
    <col min="9" max="9" width="8.00390625" style="0" customWidth="1"/>
    <col min="10" max="10" width="16.8515625" style="0" customWidth="1"/>
    <col min="11" max="11" width="9.00390625" style="0" customWidth="1"/>
    <col min="12" max="12" width="13.28125" style="0" customWidth="1"/>
    <col min="13" max="13" width="8.140625" style="0" bestFit="1" customWidth="1"/>
    <col min="14" max="14" width="17.7109375" style="0" bestFit="1" customWidth="1"/>
    <col min="15" max="15" width="9.28125" style="0" customWidth="1"/>
    <col min="16" max="16" width="13.28125" style="0" customWidth="1"/>
    <col min="17" max="17" width="9.28125" style="0" customWidth="1"/>
    <col min="18" max="18" width="13.7109375" style="0" customWidth="1"/>
    <col min="20" max="20" width="12.7109375" style="0" customWidth="1"/>
    <col min="21" max="21" width="11.8515625" style="0" customWidth="1"/>
    <col min="22" max="22" width="18.28125" style="0" customWidth="1"/>
    <col min="23" max="23" width="12.7109375" style="0" customWidth="1"/>
    <col min="24" max="24" width="13.140625" style="0" customWidth="1"/>
    <col min="26" max="26" width="12.7109375" style="0" customWidth="1"/>
    <col min="27" max="27" width="15.57421875" style="0" customWidth="1"/>
    <col min="30" max="30" width="15.28125" style="0" customWidth="1"/>
    <col min="32" max="32" width="13.57421875" style="0" customWidth="1"/>
    <col min="34" max="34" width="13.8515625" style="0" customWidth="1"/>
    <col min="36" max="36" width="14.28125" style="0" customWidth="1"/>
  </cols>
  <sheetData>
    <row r="1" spans="2:17" ht="46.5" customHeight="1">
      <c r="B1" s="117"/>
      <c r="C1" s="874" t="s">
        <v>715</v>
      </c>
      <c r="D1" s="875"/>
      <c r="E1" s="875"/>
      <c r="F1" s="875"/>
      <c r="G1" s="875"/>
      <c r="H1" s="875"/>
      <c r="J1" s="199" t="s">
        <v>338</v>
      </c>
      <c r="K1" s="123"/>
      <c r="L1" s="123"/>
      <c r="M1" s="123"/>
      <c r="N1" s="199"/>
      <c r="O1" s="199"/>
      <c r="P1" s="876"/>
      <c r="Q1" s="876"/>
    </row>
    <row r="2" spans="1:17" ht="20.25">
      <c r="A2" s="227"/>
      <c r="B2" s="22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76"/>
      <c r="Q2" s="876"/>
    </row>
    <row r="3" spans="1:17" ht="24">
      <c r="A3" s="227"/>
      <c r="C3" s="743" t="s">
        <v>572</v>
      </c>
      <c r="D3" s="743" t="s">
        <v>573</v>
      </c>
      <c r="E3" s="743" t="s">
        <v>339</v>
      </c>
      <c r="F3" s="743" t="s">
        <v>574</v>
      </c>
      <c r="G3" s="743" t="s">
        <v>340</v>
      </c>
      <c r="H3" s="743" t="s">
        <v>642</v>
      </c>
      <c r="I3" s="743" t="s">
        <v>575</v>
      </c>
      <c r="J3" s="743" t="s">
        <v>576</v>
      </c>
      <c r="K3" s="743" t="s">
        <v>577</v>
      </c>
      <c r="L3" s="743" t="s">
        <v>578</v>
      </c>
      <c r="M3" s="449"/>
      <c r="N3" s="743" t="s">
        <v>579</v>
      </c>
      <c r="O3" s="743" t="s">
        <v>580</v>
      </c>
      <c r="P3" s="743" t="s">
        <v>581</v>
      </c>
      <c r="Q3" s="743" t="s">
        <v>224</v>
      </c>
    </row>
    <row r="4" spans="1:17" ht="45" customHeight="1">
      <c r="A4" s="415"/>
      <c r="B4" s="415"/>
      <c r="C4" s="424"/>
      <c r="D4" s="879" t="s">
        <v>82</v>
      </c>
      <c r="E4" s="880"/>
      <c r="F4" s="880"/>
      <c r="G4" s="881"/>
      <c r="H4" s="877" t="s">
        <v>546</v>
      </c>
      <c r="I4" s="426"/>
      <c r="J4" s="879" t="s">
        <v>547</v>
      </c>
      <c r="K4" s="880"/>
      <c r="L4" s="880"/>
      <c r="M4" s="881"/>
      <c r="N4" s="882" t="s">
        <v>540</v>
      </c>
      <c r="O4" s="879" t="s">
        <v>548</v>
      </c>
      <c r="P4" s="880"/>
      <c r="Q4" s="881"/>
    </row>
    <row r="5" spans="1:21" ht="51">
      <c r="A5" s="420" t="s">
        <v>308</v>
      </c>
      <c r="B5" s="420" t="s">
        <v>111</v>
      </c>
      <c r="C5" s="724" t="s">
        <v>643</v>
      </c>
      <c r="D5" s="408" t="s">
        <v>107</v>
      </c>
      <c r="E5" s="408" t="s">
        <v>84</v>
      </c>
      <c r="F5" s="408" t="s">
        <v>108</v>
      </c>
      <c r="G5" s="408" t="s">
        <v>84</v>
      </c>
      <c r="H5" s="878"/>
      <c r="I5" s="425" t="s">
        <v>84</v>
      </c>
      <c r="J5" s="408" t="s">
        <v>109</v>
      </c>
      <c r="K5" s="408" t="s">
        <v>84</v>
      </c>
      <c r="L5" s="409" t="s">
        <v>222</v>
      </c>
      <c r="M5" s="408" t="s">
        <v>223</v>
      </c>
      <c r="N5" s="856"/>
      <c r="O5" s="427" t="s">
        <v>84</v>
      </c>
      <c r="P5" s="205" t="s">
        <v>110</v>
      </c>
      <c r="Q5" s="410" t="s">
        <v>85</v>
      </c>
      <c r="U5" s="443" t="s">
        <v>582</v>
      </c>
    </row>
    <row r="6" spans="1:17" ht="12.75">
      <c r="A6" s="334"/>
      <c r="B6" s="334"/>
      <c r="C6" s="210" t="s">
        <v>131</v>
      </c>
      <c r="D6" s="210" t="s">
        <v>373</v>
      </c>
      <c r="E6" s="411">
        <v>-3</v>
      </c>
      <c r="F6" s="210" t="s">
        <v>133</v>
      </c>
      <c r="G6" s="411">
        <v>-5</v>
      </c>
      <c r="H6" s="210" t="s">
        <v>135</v>
      </c>
      <c r="I6" s="411">
        <v>-7</v>
      </c>
      <c r="J6" s="210" t="s">
        <v>137</v>
      </c>
      <c r="K6" s="210" t="s">
        <v>138</v>
      </c>
      <c r="L6" s="210" t="s">
        <v>139</v>
      </c>
      <c r="M6" s="411">
        <v>-11</v>
      </c>
      <c r="N6" s="210" t="s">
        <v>141</v>
      </c>
      <c r="O6" s="210" t="s">
        <v>214</v>
      </c>
      <c r="P6" s="210" t="s">
        <v>321</v>
      </c>
      <c r="Q6" s="210" t="s">
        <v>322</v>
      </c>
    </row>
    <row r="7" spans="1:24" ht="12.75">
      <c r="A7" s="25"/>
      <c r="B7" s="26"/>
      <c r="C7" s="30"/>
      <c r="D7" s="30"/>
      <c r="E7" s="30"/>
      <c r="F7" s="30"/>
      <c r="G7" s="30"/>
      <c r="H7" s="30"/>
      <c r="I7" s="30"/>
      <c r="J7" s="30"/>
      <c r="K7" s="30"/>
      <c r="L7" s="32"/>
      <c r="M7" s="30"/>
      <c r="N7" s="30"/>
      <c r="O7" s="30"/>
      <c r="P7" s="30"/>
      <c r="Q7" s="30"/>
      <c r="U7" s="200"/>
      <c r="V7" s="200"/>
      <c r="W7" s="200"/>
      <c r="X7" s="200"/>
    </row>
    <row r="8" spans="1:24" ht="12.75">
      <c r="A8" s="33">
        <v>1</v>
      </c>
      <c r="B8" s="34" t="s">
        <v>6</v>
      </c>
      <c r="C8" s="34">
        <f>'Table 3 Levels 1&amp;2'!U9</f>
        <v>13435</v>
      </c>
      <c r="D8" s="35">
        <f>ROUND('Table 7 Local Revenue'!$AB$75*'Table 7 Local Revenue'!F8/1000,0)</f>
        <v>5655932</v>
      </c>
      <c r="E8" s="35">
        <f>ROUND(D8/C8,2)</f>
        <v>420.98</v>
      </c>
      <c r="F8" s="35">
        <f>ROUND('Table 7 Local Revenue'!$AD$75*'Table 7 Local Revenue'!AH8,0)</f>
        <v>10220221</v>
      </c>
      <c r="G8" s="35">
        <f>ROUND(F8/C8,2)</f>
        <v>760.72</v>
      </c>
      <c r="H8" s="35">
        <f>'Table 7 Local Revenue'!AK8</f>
        <v>415399</v>
      </c>
      <c r="I8" s="35">
        <f>ROUND(H8/C8,2)</f>
        <v>30.92</v>
      </c>
      <c r="J8" s="35">
        <f>H8+F8+D8</f>
        <v>16291552</v>
      </c>
      <c r="K8" s="35">
        <f>ROUND(J8/C8,2)</f>
        <v>1212.62</v>
      </c>
      <c r="L8" s="44">
        <f aca="true" t="shared" si="0" ref="L8:L39">ROUND(K8/K$75,8)</f>
        <v>0.66016997</v>
      </c>
      <c r="M8" s="34">
        <f aca="true" t="shared" si="1" ref="M8:M39">RANK(L8,L$8:L$73,0)</f>
        <v>39</v>
      </c>
      <c r="N8" s="35">
        <f>+'Table 7 Local Revenue'!AC8+'Table 7 Local Revenue'!AG8+'Table 7 Local Revenue'!AK8</f>
        <v>10477591</v>
      </c>
      <c r="O8" s="35">
        <f aca="true" t="shared" si="2" ref="O8:O39">ROUND(N8/C8,2)</f>
        <v>779.87</v>
      </c>
      <c r="P8" s="37">
        <f aca="true" t="shared" si="3" ref="P8:P39">ROUND(O8/K8,6)</f>
        <v>0.643128</v>
      </c>
      <c r="Q8" s="34">
        <f aca="true" t="shared" si="4" ref="Q8:Q39">RANK(P8,P$8:P$73,0)</f>
        <v>62</v>
      </c>
      <c r="U8" s="33">
        <v>41</v>
      </c>
      <c r="V8" s="34" t="s">
        <v>46</v>
      </c>
      <c r="W8" s="37">
        <v>1.548678</v>
      </c>
      <c r="X8" s="34">
        <f aca="true" t="shared" si="5" ref="X8:X71">RANK(W8,W$8:W$73,0)</f>
        <v>1</v>
      </c>
    </row>
    <row r="9" spans="1:24" ht="12.75">
      <c r="A9" s="33">
        <v>2</v>
      </c>
      <c r="B9" s="34" t="s">
        <v>7</v>
      </c>
      <c r="C9" s="34">
        <f>'Table 3 Levels 1&amp;2'!U10</f>
        <v>5780</v>
      </c>
      <c r="D9" s="35">
        <f>ROUND('Table 7 Local Revenue'!$AB$75*'Table 7 Local Revenue'!F9/1000,0)</f>
        <v>2419292</v>
      </c>
      <c r="E9" s="35">
        <f aca="true" t="shared" si="6" ref="E9:E72">ROUND(D9/C9,2)</f>
        <v>418.56</v>
      </c>
      <c r="F9" s="35">
        <f>ROUND('Table 7 Local Revenue'!$AD$75*'Table 7 Local Revenue'!AH9,0)</f>
        <v>3205073</v>
      </c>
      <c r="G9" s="35">
        <f aca="true" t="shared" si="7" ref="G9:G72">ROUND(F9/C9,2)</f>
        <v>554.51</v>
      </c>
      <c r="H9" s="35">
        <f>'Table 7 Local Revenue'!AK9</f>
        <v>100015</v>
      </c>
      <c r="I9" s="35">
        <f aca="true" t="shared" si="8" ref="I9:I72">ROUND(H9/C9,2)</f>
        <v>17.3</v>
      </c>
      <c r="J9" s="35">
        <f aca="true" t="shared" si="9" ref="J9:J72">H9+F9+D9</f>
        <v>5724380</v>
      </c>
      <c r="K9" s="35">
        <f aca="true" t="shared" si="10" ref="K9:K72">ROUND(J9/C9,2)</f>
        <v>990.38</v>
      </c>
      <c r="L9" s="44">
        <f t="shared" si="0"/>
        <v>0.53917891</v>
      </c>
      <c r="M9" s="34">
        <f t="shared" si="1"/>
        <v>52</v>
      </c>
      <c r="N9" s="35">
        <f>+'Table 7 Local Revenue'!AC9+'Table 7 Local Revenue'!AG9+'Table 7 Local Revenue'!AK9</f>
        <v>6368402</v>
      </c>
      <c r="O9" s="35">
        <f t="shared" si="2"/>
        <v>1101.8</v>
      </c>
      <c r="P9" s="37">
        <f t="shared" si="3"/>
        <v>1.112502</v>
      </c>
      <c r="Q9" s="34">
        <f t="shared" si="4"/>
        <v>19</v>
      </c>
      <c r="U9" s="33">
        <v>37</v>
      </c>
      <c r="V9" s="34" t="s">
        <v>42</v>
      </c>
      <c r="W9" s="37">
        <v>1.491832</v>
      </c>
      <c r="X9" s="34">
        <f t="shared" si="5"/>
        <v>2</v>
      </c>
    </row>
    <row r="10" spans="1:24" ht="12.75">
      <c r="A10" s="33">
        <v>3</v>
      </c>
      <c r="B10" s="34" t="s">
        <v>8</v>
      </c>
      <c r="C10" s="34">
        <f>'Table 3 Levels 1&amp;2'!U11</f>
        <v>19772</v>
      </c>
      <c r="D10" s="35">
        <f>ROUND('Table 7 Local Revenue'!$AB$75*'Table 7 Local Revenue'!F10/1000,0)</f>
        <v>15711572</v>
      </c>
      <c r="E10" s="35">
        <f t="shared" si="6"/>
        <v>794.64</v>
      </c>
      <c r="F10" s="35">
        <f>ROUND('Table 7 Local Revenue'!$AD$75*'Table 7 Local Revenue'!AH10,0)</f>
        <v>28448878</v>
      </c>
      <c r="G10" s="35">
        <f t="shared" si="7"/>
        <v>1438.85</v>
      </c>
      <c r="H10" s="35">
        <f>'Table 7 Local Revenue'!AK10</f>
        <v>173623.5</v>
      </c>
      <c r="I10" s="35">
        <f t="shared" si="8"/>
        <v>8.78</v>
      </c>
      <c r="J10" s="35">
        <f t="shared" si="9"/>
        <v>44334073.5</v>
      </c>
      <c r="K10" s="35">
        <f t="shared" si="10"/>
        <v>2242.27</v>
      </c>
      <c r="L10" s="44">
        <f t="shared" si="0"/>
        <v>1.2207281</v>
      </c>
      <c r="M10" s="34">
        <f t="shared" si="1"/>
        <v>12</v>
      </c>
      <c r="N10" s="35">
        <f>+'Table 7 Local Revenue'!AC10+'Table 7 Local Revenue'!AG10+'Table 7 Local Revenue'!AK10</f>
        <v>51502064.5</v>
      </c>
      <c r="O10" s="35">
        <f t="shared" si="2"/>
        <v>2604.8</v>
      </c>
      <c r="P10" s="37">
        <f t="shared" si="3"/>
        <v>1.16168</v>
      </c>
      <c r="Q10" s="34">
        <f t="shared" si="4"/>
        <v>11</v>
      </c>
      <c r="U10" s="33">
        <v>52</v>
      </c>
      <c r="V10" s="34" t="s">
        <v>56</v>
      </c>
      <c r="W10" s="37">
        <v>1.404244</v>
      </c>
      <c r="X10" s="34">
        <f t="shared" si="5"/>
        <v>3</v>
      </c>
    </row>
    <row r="11" spans="1:24" ht="12.75">
      <c r="A11" s="33">
        <v>4</v>
      </c>
      <c r="B11" s="34" t="s">
        <v>9</v>
      </c>
      <c r="C11" s="34">
        <f>'Table 3 Levels 1&amp;2'!U12</f>
        <v>6248</v>
      </c>
      <c r="D11" s="35">
        <f>ROUND('Table 7 Local Revenue'!$AB$75*'Table 7 Local Revenue'!F11/1000,0)</f>
        <v>2609985</v>
      </c>
      <c r="E11" s="35">
        <f t="shared" si="6"/>
        <v>417.73</v>
      </c>
      <c r="F11" s="35">
        <f>ROUND('Table 7 Local Revenue'!$AD$75*'Table 7 Local Revenue'!AH11,0)</f>
        <v>3002945</v>
      </c>
      <c r="G11" s="35">
        <f t="shared" si="7"/>
        <v>480.63</v>
      </c>
      <c r="H11" s="35">
        <f>'Table 7 Local Revenue'!AK11</f>
        <v>260808.5</v>
      </c>
      <c r="I11" s="35">
        <f t="shared" si="8"/>
        <v>41.74</v>
      </c>
      <c r="J11" s="35">
        <f t="shared" si="9"/>
        <v>5873738.5</v>
      </c>
      <c r="K11" s="35">
        <f t="shared" si="10"/>
        <v>940.1</v>
      </c>
      <c r="L11" s="44">
        <f t="shared" si="0"/>
        <v>0.51180567</v>
      </c>
      <c r="M11" s="34">
        <f t="shared" si="1"/>
        <v>55</v>
      </c>
      <c r="N11" s="35">
        <f>+'Table 7 Local Revenue'!AC11+'Table 7 Local Revenue'!AG11+'Table 7 Local Revenue'!AK11</f>
        <v>7106731.5</v>
      </c>
      <c r="O11" s="35">
        <f t="shared" si="2"/>
        <v>1137.44</v>
      </c>
      <c r="P11" s="37">
        <f t="shared" si="3"/>
        <v>1.209914</v>
      </c>
      <c r="Q11" s="34">
        <f t="shared" si="4"/>
        <v>10</v>
      </c>
      <c r="U11" s="33">
        <v>32</v>
      </c>
      <c r="V11" s="34" t="s">
        <v>37</v>
      </c>
      <c r="W11" s="37">
        <v>1.314622</v>
      </c>
      <c r="X11" s="34">
        <f t="shared" si="5"/>
        <v>4</v>
      </c>
    </row>
    <row r="12" spans="1:24" ht="12.75">
      <c r="A12" s="47">
        <v>5</v>
      </c>
      <c r="B12" s="48" t="s">
        <v>10</v>
      </c>
      <c r="C12" s="48">
        <f>'Table 3 Levels 1&amp;2'!U13</f>
        <v>8885</v>
      </c>
      <c r="D12" s="49">
        <f>ROUND('Table 7 Local Revenue'!$AB$75*'Table 7 Local Revenue'!F12/1000,0)</f>
        <v>2580966</v>
      </c>
      <c r="E12" s="49">
        <f t="shared" si="6"/>
        <v>290.49</v>
      </c>
      <c r="F12" s="49">
        <f>ROUND('Table 7 Local Revenue'!$AD$75*'Table 7 Local Revenue'!AH12,0)</f>
        <v>5455770</v>
      </c>
      <c r="G12" s="49">
        <f t="shared" si="7"/>
        <v>614.04</v>
      </c>
      <c r="H12" s="49">
        <f>'Table 7 Local Revenue'!AK12</f>
        <v>302099.5</v>
      </c>
      <c r="I12" s="49">
        <f t="shared" si="8"/>
        <v>34</v>
      </c>
      <c r="J12" s="49">
        <f t="shared" si="9"/>
        <v>8338835.5</v>
      </c>
      <c r="K12" s="49">
        <f t="shared" si="10"/>
        <v>938.53</v>
      </c>
      <c r="L12" s="55">
        <f t="shared" si="0"/>
        <v>0.51095093</v>
      </c>
      <c r="M12" s="48">
        <f t="shared" si="1"/>
        <v>57</v>
      </c>
      <c r="N12" s="49">
        <f>+'Table 7 Local Revenue'!AC12+'Table 7 Local Revenue'!AG12+'Table 7 Local Revenue'!AK12</f>
        <v>6258645.5</v>
      </c>
      <c r="O12" s="49">
        <f t="shared" si="2"/>
        <v>704.41</v>
      </c>
      <c r="P12" s="50">
        <f t="shared" si="3"/>
        <v>0.750546</v>
      </c>
      <c r="Q12" s="48">
        <f t="shared" si="4"/>
        <v>56</v>
      </c>
      <c r="U12" s="47">
        <v>16</v>
      </c>
      <c r="V12" s="48" t="s">
        <v>21</v>
      </c>
      <c r="W12" s="50">
        <v>1.262069</v>
      </c>
      <c r="X12" s="34">
        <f t="shared" si="5"/>
        <v>5</v>
      </c>
    </row>
    <row r="13" spans="1:24" ht="12.75">
      <c r="A13" s="33">
        <v>6</v>
      </c>
      <c r="B13" s="34" t="s">
        <v>11</v>
      </c>
      <c r="C13" s="34">
        <f>'Table 3 Levels 1&amp;2'!U14</f>
        <v>7935</v>
      </c>
      <c r="D13" s="35">
        <f>ROUND('Table 7 Local Revenue'!$AB$75*'Table 7 Local Revenue'!F13/1000,0)</f>
        <v>4835482</v>
      </c>
      <c r="E13" s="35">
        <f t="shared" si="6"/>
        <v>609.39</v>
      </c>
      <c r="F13" s="35">
        <f>ROUND('Table 7 Local Revenue'!$AD$75*'Table 7 Local Revenue'!AH13,0)</f>
        <v>6171830</v>
      </c>
      <c r="G13" s="35">
        <f t="shared" si="7"/>
        <v>777.8</v>
      </c>
      <c r="H13" s="35">
        <f>'Table 7 Local Revenue'!AK13</f>
        <v>283064.5</v>
      </c>
      <c r="I13" s="35">
        <f t="shared" si="8"/>
        <v>35.67</v>
      </c>
      <c r="J13" s="35">
        <f t="shared" si="9"/>
        <v>11290376.5</v>
      </c>
      <c r="K13" s="35">
        <f t="shared" si="10"/>
        <v>1422.86</v>
      </c>
      <c r="L13" s="44">
        <f t="shared" si="0"/>
        <v>0.77462803</v>
      </c>
      <c r="M13" s="34">
        <f t="shared" si="1"/>
        <v>29</v>
      </c>
      <c r="N13" s="35">
        <f>+'Table 7 Local Revenue'!AC13+'Table 7 Local Revenue'!AG13+'Table 7 Local Revenue'!AK13</f>
        <v>12772405.5</v>
      </c>
      <c r="O13" s="35">
        <f t="shared" si="2"/>
        <v>1609.63</v>
      </c>
      <c r="P13" s="37">
        <f t="shared" si="3"/>
        <v>1.131264</v>
      </c>
      <c r="Q13" s="34">
        <f t="shared" si="4"/>
        <v>16</v>
      </c>
      <c r="U13" s="33">
        <v>45</v>
      </c>
      <c r="V13" s="34" t="s">
        <v>50</v>
      </c>
      <c r="W13" s="37">
        <v>1.253398</v>
      </c>
      <c r="X13" s="34">
        <f t="shared" si="5"/>
        <v>6</v>
      </c>
    </row>
    <row r="14" spans="1:24" ht="12.75">
      <c r="A14" s="33">
        <v>7</v>
      </c>
      <c r="B14" s="34" t="s">
        <v>12</v>
      </c>
      <c r="C14" s="34">
        <f>'Table 3 Levels 1&amp;2'!U15</f>
        <v>3728</v>
      </c>
      <c r="D14" s="35">
        <f>ROUND('Table 7 Local Revenue'!$AB$75*'Table 7 Local Revenue'!F14/1000,0)</f>
        <v>4727141</v>
      </c>
      <c r="E14" s="35">
        <f t="shared" si="6"/>
        <v>1268.01</v>
      </c>
      <c r="F14" s="35">
        <f>ROUND('Table 7 Local Revenue'!$AD$75*'Table 7 Local Revenue'!AH14,0)</f>
        <v>3011326</v>
      </c>
      <c r="G14" s="35">
        <f t="shared" si="7"/>
        <v>807.76</v>
      </c>
      <c r="H14" s="35">
        <f>'Table 7 Local Revenue'!AK14</f>
        <v>140953.5</v>
      </c>
      <c r="I14" s="35">
        <f t="shared" si="8"/>
        <v>37.81</v>
      </c>
      <c r="J14" s="35">
        <f t="shared" si="9"/>
        <v>7879420.5</v>
      </c>
      <c r="K14" s="35">
        <f t="shared" si="10"/>
        <v>2113.58</v>
      </c>
      <c r="L14" s="44">
        <f t="shared" si="0"/>
        <v>1.15066718</v>
      </c>
      <c r="M14" s="34">
        <f t="shared" si="1"/>
        <v>15</v>
      </c>
      <c r="N14" s="35">
        <f>+'Table 7 Local Revenue'!AC14+'Table 7 Local Revenue'!AG14+'Table 7 Local Revenue'!AK14</f>
        <v>8146829.5</v>
      </c>
      <c r="O14" s="35">
        <f t="shared" si="2"/>
        <v>2185.31</v>
      </c>
      <c r="P14" s="37">
        <f t="shared" si="3"/>
        <v>1.033938</v>
      </c>
      <c r="Q14" s="34">
        <f t="shared" si="4"/>
        <v>26</v>
      </c>
      <c r="U14" s="33">
        <v>4</v>
      </c>
      <c r="V14" s="34" t="s">
        <v>9</v>
      </c>
      <c r="W14" s="37">
        <v>1.242753</v>
      </c>
      <c r="X14" s="34">
        <f t="shared" si="5"/>
        <v>7</v>
      </c>
    </row>
    <row r="15" spans="1:24" ht="12.75">
      <c r="A15" s="33">
        <v>8</v>
      </c>
      <c r="B15" s="34" t="s">
        <v>13</v>
      </c>
      <c r="C15" s="34">
        <f>'Table 3 Levels 1&amp;2'!U16</f>
        <v>23616</v>
      </c>
      <c r="D15" s="35">
        <f>ROUND('Table 7 Local Revenue'!$AB$75*'Table 7 Local Revenue'!F15/1000,0)</f>
        <v>13503295</v>
      </c>
      <c r="E15" s="35">
        <f t="shared" si="6"/>
        <v>571.79</v>
      </c>
      <c r="F15" s="35">
        <f>ROUND('Table 7 Local Revenue'!$AD$75*'Table 7 Local Revenue'!AH15,0)</f>
        <v>27184061</v>
      </c>
      <c r="G15" s="35">
        <f t="shared" si="7"/>
        <v>1151.09</v>
      </c>
      <c r="H15" s="35">
        <f>'Table 7 Local Revenue'!AK15</f>
        <v>566601</v>
      </c>
      <c r="I15" s="35">
        <f t="shared" si="8"/>
        <v>23.99</v>
      </c>
      <c r="J15" s="35">
        <f t="shared" si="9"/>
        <v>41253957</v>
      </c>
      <c r="K15" s="35">
        <f t="shared" si="10"/>
        <v>1746.86</v>
      </c>
      <c r="L15" s="44">
        <f t="shared" si="0"/>
        <v>0.95101887</v>
      </c>
      <c r="M15" s="34">
        <f t="shared" si="1"/>
        <v>19</v>
      </c>
      <c r="N15" s="35">
        <f>+'Table 7 Local Revenue'!AC15+'Table 7 Local Revenue'!AG15+'Table 7 Local Revenue'!AK15</f>
        <v>39682381</v>
      </c>
      <c r="O15" s="35">
        <f t="shared" si="2"/>
        <v>1680.32</v>
      </c>
      <c r="P15" s="37">
        <f t="shared" si="3"/>
        <v>0.961909</v>
      </c>
      <c r="Q15" s="34">
        <f t="shared" si="4"/>
        <v>39</v>
      </c>
      <c r="U15" s="33">
        <v>9</v>
      </c>
      <c r="V15" s="34" t="s">
        <v>14</v>
      </c>
      <c r="W15" s="37">
        <v>1.242652</v>
      </c>
      <c r="X15" s="34">
        <f t="shared" si="5"/>
        <v>8</v>
      </c>
    </row>
    <row r="16" spans="1:24" ht="12.75">
      <c r="A16" s="33">
        <v>9</v>
      </c>
      <c r="B16" s="34" t="s">
        <v>14</v>
      </c>
      <c r="C16" s="34">
        <f>'Table 3 Levels 1&amp;2'!U17</f>
        <v>58663</v>
      </c>
      <c r="D16" s="35">
        <f>ROUND('Table 7 Local Revenue'!$AB$75*'Table 7 Local Revenue'!F16/1000,0)</f>
        <v>34207771</v>
      </c>
      <c r="E16" s="35">
        <f t="shared" si="6"/>
        <v>583.12</v>
      </c>
      <c r="F16" s="35">
        <f>ROUND('Table 7 Local Revenue'!$AD$75*'Table 7 Local Revenue'!AH16,0)</f>
        <v>62821043</v>
      </c>
      <c r="G16" s="35">
        <f t="shared" si="7"/>
        <v>1070.88</v>
      </c>
      <c r="H16" s="35">
        <f>'Table 7 Local Revenue'!AK16</f>
        <v>2323830</v>
      </c>
      <c r="I16" s="35">
        <f t="shared" si="8"/>
        <v>39.61</v>
      </c>
      <c r="J16" s="35">
        <f t="shared" si="9"/>
        <v>99352644</v>
      </c>
      <c r="K16" s="35">
        <f t="shared" si="10"/>
        <v>1693.62</v>
      </c>
      <c r="L16" s="44">
        <f t="shared" si="0"/>
        <v>0.92203416</v>
      </c>
      <c r="M16" s="34">
        <f t="shared" si="1"/>
        <v>21</v>
      </c>
      <c r="N16" s="35">
        <f>+'Table 7 Local Revenue'!AC16+'Table 7 Local Revenue'!AG16+'Table 7 Local Revenue'!AK16</f>
        <v>123862224</v>
      </c>
      <c r="O16" s="35">
        <f t="shared" si="2"/>
        <v>2111.42</v>
      </c>
      <c r="P16" s="37">
        <f t="shared" si="3"/>
        <v>1.246691</v>
      </c>
      <c r="Q16" s="34">
        <f t="shared" si="4"/>
        <v>8</v>
      </c>
      <c r="U16" s="33">
        <v>30</v>
      </c>
      <c r="V16" s="34" t="s">
        <v>35</v>
      </c>
      <c r="W16" s="37">
        <v>1.181086</v>
      </c>
      <c r="X16" s="34">
        <f t="shared" si="5"/>
        <v>9</v>
      </c>
    </row>
    <row r="17" spans="1:24" ht="12.75">
      <c r="A17" s="47">
        <v>10</v>
      </c>
      <c r="B17" s="48" t="s">
        <v>15</v>
      </c>
      <c r="C17" s="48">
        <f>'Table 3 Levels 1&amp;2'!U18</f>
        <v>41696</v>
      </c>
      <c r="D17" s="49">
        <f>ROUND('Table 7 Local Revenue'!$AB$75*'Table 7 Local Revenue'!F17/1000,0)</f>
        <v>32604112</v>
      </c>
      <c r="E17" s="49">
        <f t="shared" si="6"/>
        <v>781.95</v>
      </c>
      <c r="F17" s="49">
        <f>ROUND('Table 7 Local Revenue'!$AD$75*'Table 7 Local Revenue'!AH17,0)</f>
        <v>56004876</v>
      </c>
      <c r="G17" s="49">
        <f t="shared" si="7"/>
        <v>1343.17</v>
      </c>
      <c r="H17" s="49">
        <f>'Table 7 Local Revenue'!AK17</f>
        <v>1021699.5</v>
      </c>
      <c r="I17" s="49">
        <f t="shared" si="8"/>
        <v>24.5</v>
      </c>
      <c r="J17" s="49">
        <f t="shared" si="9"/>
        <v>89630687.5</v>
      </c>
      <c r="K17" s="49">
        <f t="shared" si="10"/>
        <v>2149.62</v>
      </c>
      <c r="L17" s="55">
        <f t="shared" si="0"/>
        <v>1.17028794</v>
      </c>
      <c r="M17" s="48">
        <f t="shared" si="1"/>
        <v>14</v>
      </c>
      <c r="N17" s="49">
        <f>+'Table 7 Local Revenue'!AC17+'Table 7 Local Revenue'!AG17+'Table 7 Local Revenue'!AK17</f>
        <v>91274864.5</v>
      </c>
      <c r="O17" s="49">
        <f t="shared" si="2"/>
        <v>2189.06</v>
      </c>
      <c r="P17" s="50">
        <f t="shared" si="3"/>
        <v>1.018347</v>
      </c>
      <c r="Q17" s="48">
        <f t="shared" si="4"/>
        <v>31</v>
      </c>
      <c r="U17" s="47">
        <v>64</v>
      </c>
      <c r="V17" s="48" t="s">
        <v>68</v>
      </c>
      <c r="W17" s="50">
        <v>1.174701</v>
      </c>
      <c r="X17" s="34">
        <f t="shared" si="5"/>
        <v>10</v>
      </c>
    </row>
    <row r="18" spans="1:24" ht="12.75">
      <c r="A18" s="33">
        <v>11</v>
      </c>
      <c r="B18" s="34" t="s">
        <v>16</v>
      </c>
      <c r="C18" s="34">
        <f>'Table 3 Levels 1&amp;2'!U19</f>
        <v>2640</v>
      </c>
      <c r="D18" s="35">
        <f>ROUND('Table 7 Local Revenue'!$AB$75*'Table 7 Local Revenue'!F18/1000,0)</f>
        <v>966079</v>
      </c>
      <c r="E18" s="35">
        <f t="shared" si="6"/>
        <v>365.94</v>
      </c>
      <c r="F18" s="35">
        <f>ROUND('Table 7 Local Revenue'!$AD$75*'Table 7 Local Revenue'!AH18,0)</f>
        <v>1143835</v>
      </c>
      <c r="G18" s="35">
        <f t="shared" si="7"/>
        <v>433.27</v>
      </c>
      <c r="H18" s="35">
        <f>'Table 7 Local Revenue'!AK18</f>
        <v>86709.5</v>
      </c>
      <c r="I18" s="35">
        <f t="shared" si="8"/>
        <v>32.84</v>
      </c>
      <c r="J18" s="35">
        <f t="shared" si="9"/>
        <v>2196623.5</v>
      </c>
      <c r="K18" s="35">
        <f t="shared" si="10"/>
        <v>832.05</v>
      </c>
      <c r="L18" s="44">
        <f t="shared" si="0"/>
        <v>0.4529815</v>
      </c>
      <c r="M18" s="34">
        <f t="shared" si="1"/>
        <v>62</v>
      </c>
      <c r="N18" s="35">
        <f>+'Table 7 Local Revenue'!AC18+'Table 7 Local Revenue'!AG18+'Table 7 Local Revenue'!AK18</f>
        <v>2183037.5</v>
      </c>
      <c r="O18" s="35">
        <f t="shared" si="2"/>
        <v>826.91</v>
      </c>
      <c r="P18" s="37">
        <f t="shared" si="3"/>
        <v>0.993822</v>
      </c>
      <c r="Q18" s="34">
        <f t="shared" si="4"/>
        <v>32</v>
      </c>
      <c r="U18" s="33">
        <v>3</v>
      </c>
      <c r="V18" s="34" t="s">
        <v>8</v>
      </c>
      <c r="W18" s="37">
        <v>1.174217</v>
      </c>
      <c r="X18" s="34">
        <f t="shared" si="5"/>
        <v>11</v>
      </c>
    </row>
    <row r="19" spans="1:24" ht="12.75">
      <c r="A19" s="33">
        <v>12</v>
      </c>
      <c r="B19" s="34" t="s">
        <v>17</v>
      </c>
      <c r="C19" s="34">
        <f>'Table 3 Levels 1&amp;2'!U20</f>
        <v>2814</v>
      </c>
      <c r="D19" s="35">
        <f>ROUND('Table 7 Local Revenue'!$AB$75*'Table 7 Local Revenue'!F19/1000,0)</f>
        <v>5256148</v>
      </c>
      <c r="E19" s="35">
        <f t="shared" si="6"/>
        <v>1867.86</v>
      </c>
      <c r="F19" s="35">
        <f>ROUND('Table 7 Local Revenue'!$AD$75*'Table 7 Local Revenue'!AH19,0)</f>
        <v>295665</v>
      </c>
      <c r="G19" s="35">
        <f t="shared" si="7"/>
        <v>105.07</v>
      </c>
      <c r="H19" s="35">
        <f>'Table 7 Local Revenue'!AK19</f>
        <v>827476</v>
      </c>
      <c r="I19" s="35">
        <f t="shared" si="8"/>
        <v>294.06</v>
      </c>
      <c r="J19" s="35">
        <f t="shared" si="9"/>
        <v>6379289</v>
      </c>
      <c r="K19" s="35">
        <f t="shared" si="10"/>
        <v>2266.98</v>
      </c>
      <c r="L19" s="44">
        <f t="shared" si="0"/>
        <v>1.23418063</v>
      </c>
      <c r="M19" s="34">
        <f t="shared" si="1"/>
        <v>11</v>
      </c>
      <c r="N19" s="35">
        <f>+'Table 7 Local Revenue'!AC19+'Table 7 Local Revenue'!AG19+'Table 7 Local Revenue'!AK19</f>
        <v>8516988</v>
      </c>
      <c r="O19" s="35">
        <f t="shared" si="2"/>
        <v>3026.65</v>
      </c>
      <c r="P19" s="37">
        <f t="shared" si="3"/>
        <v>1.335102</v>
      </c>
      <c r="Q19" s="34">
        <f t="shared" si="4"/>
        <v>4</v>
      </c>
      <c r="U19" s="33">
        <v>2</v>
      </c>
      <c r="V19" s="34" t="s">
        <v>7</v>
      </c>
      <c r="W19" s="37">
        <v>1.16011</v>
      </c>
      <c r="X19" s="34">
        <f t="shared" si="5"/>
        <v>12</v>
      </c>
    </row>
    <row r="20" spans="1:24" ht="12.75">
      <c r="A20" s="33">
        <v>13</v>
      </c>
      <c r="B20" s="34" t="s">
        <v>18</v>
      </c>
      <c r="C20" s="34">
        <f>'Table 3 Levels 1&amp;2'!U21</f>
        <v>2646</v>
      </c>
      <c r="D20" s="35">
        <f>ROUND('Table 7 Local Revenue'!$AB$75*'Table 7 Local Revenue'!F20/1000,0)</f>
        <v>1115766</v>
      </c>
      <c r="E20" s="35">
        <f t="shared" si="6"/>
        <v>421.68</v>
      </c>
      <c r="F20" s="35">
        <f>ROUND('Table 7 Local Revenue'!$AD$75*'Table 7 Local Revenue'!AH20,0)</f>
        <v>1273073</v>
      </c>
      <c r="G20" s="35">
        <f t="shared" si="7"/>
        <v>481.13</v>
      </c>
      <c r="H20" s="35">
        <f>'Table 7 Local Revenue'!AK20</f>
        <v>95502.5</v>
      </c>
      <c r="I20" s="35">
        <f t="shared" si="8"/>
        <v>36.09</v>
      </c>
      <c r="J20" s="35">
        <f t="shared" si="9"/>
        <v>2484341.5</v>
      </c>
      <c r="K20" s="35">
        <f t="shared" si="10"/>
        <v>938.9</v>
      </c>
      <c r="L20" s="44">
        <f t="shared" si="0"/>
        <v>0.51115237</v>
      </c>
      <c r="M20" s="34">
        <f t="shared" si="1"/>
        <v>56</v>
      </c>
      <c r="N20" s="35">
        <f>+'Table 7 Local Revenue'!AC20+'Table 7 Local Revenue'!AG20+'Table 7 Local Revenue'!AK20</f>
        <v>2636006.5</v>
      </c>
      <c r="O20" s="35">
        <f t="shared" si="2"/>
        <v>996.22</v>
      </c>
      <c r="P20" s="37">
        <f t="shared" si="3"/>
        <v>1.06105</v>
      </c>
      <c r="Q20" s="34">
        <f t="shared" si="4"/>
        <v>22</v>
      </c>
      <c r="U20" s="33">
        <v>6</v>
      </c>
      <c r="V20" s="34" t="s">
        <v>11</v>
      </c>
      <c r="W20" s="37">
        <v>1.136435</v>
      </c>
      <c r="X20" s="34">
        <f t="shared" si="5"/>
        <v>13</v>
      </c>
    </row>
    <row r="21" spans="1:24" ht="12.75">
      <c r="A21" s="33">
        <v>14</v>
      </c>
      <c r="B21" s="34" t="s">
        <v>19</v>
      </c>
      <c r="C21" s="34">
        <f>'Table 3 Levels 1&amp;2'!U22</f>
        <v>4184</v>
      </c>
      <c r="D21" s="35">
        <f>ROUND('Table 7 Local Revenue'!$AB$75*'Table 7 Local Revenue'!F21/1000,0)</f>
        <v>2626558</v>
      </c>
      <c r="E21" s="35">
        <f t="shared" si="6"/>
        <v>627.76</v>
      </c>
      <c r="F21" s="35">
        <f>ROUND('Table 7 Local Revenue'!$AD$75*'Table 7 Local Revenue'!AH21,0)</f>
        <v>2270040</v>
      </c>
      <c r="G21" s="35">
        <f t="shared" si="7"/>
        <v>542.55</v>
      </c>
      <c r="H21" s="35">
        <f>'Table 7 Local Revenue'!AK21</f>
        <v>174260.5</v>
      </c>
      <c r="I21" s="35">
        <f t="shared" si="8"/>
        <v>41.65</v>
      </c>
      <c r="J21" s="35">
        <f t="shared" si="9"/>
        <v>5070858.5</v>
      </c>
      <c r="K21" s="35">
        <f t="shared" si="10"/>
        <v>1211.96</v>
      </c>
      <c r="L21" s="44">
        <f t="shared" si="0"/>
        <v>0.65981065</v>
      </c>
      <c r="M21" s="34">
        <f t="shared" si="1"/>
        <v>40</v>
      </c>
      <c r="N21" s="35">
        <f>+'Table 7 Local Revenue'!AC21+'Table 7 Local Revenue'!AG21+'Table 7 Local Revenue'!AK21</f>
        <v>4376927.5</v>
      </c>
      <c r="O21" s="35">
        <f t="shared" si="2"/>
        <v>1046.11</v>
      </c>
      <c r="P21" s="37">
        <f t="shared" si="3"/>
        <v>0.863156</v>
      </c>
      <c r="Q21" s="34">
        <f t="shared" si="4"/>
        <v>48</v>
      </c>
      <c r="U21" s="33">
        <v>48</v>
      </c>
      <c r="V21" s="34" t="s">
        <v>568</v>
      </c>
      <c r="W21" s="37">
        <v>1.096078</v>
      </c>
      <c r="X21" s="34">
        <f t="shared" si="5"/>
        <v>14</v>
      </c>
    </row>
    <row r="22" spans="1:24" ht="12.75">
      <c r="A22" s="47">
        <v>15</v>
      </c>
      <c r="B22" s="48" t="s">
        <v>20</v>
      </c>
      <c r="C22" s="48">
        <f>'Table 3 Levels 1&amp;2'!U23</f>
        <v>5312</v>
      </c>
      <c r="D22" s="49">
        <f>ROUND('Table 7 Local Revenue'!$AB$75*'Table 7 Local Revenue'!F22/1000,0)</f>
        <v>2982141</v>
      </c>
      <c r="E22" s="49">
        <f t="shared" si="6"/>
        <v>561.4</v>
      </c>
      <c r="F22" s="49">
        <f>ROUND('Table 7 Local Revenue'!$AD$75*'Table 7 Local Revenue'!AH22,0)</f>
        <v>2821865</v>
      </c>
      <c r="G22" s="49">
        <f t="shared" si="7"/>
        <v>531.22</v>
      </c>
      <c r="H22" s="49">
        <f>'Table 7 Local Revenue'!AK22</f>
        <v>175240.5</v>
      </c>
      <c r="I22" s="49">
        <f t="shared" si="8"/>
        <v>32.99</v>
      </c>
      <c r="J22" s="49">
        <f t="shared" si="9"/>
        <v>5979246.5</v>
      </c>
      <c r="K22" s="49">
        <f t="shared" si="10"/>
        <v>1125.61</v>
      </c>
      <c r="L22" s="55">
        <f t="shared" si="0"/>
        <v>0.61280031</v>
      </c>
      <c r="M22" s="48">
        <f t="shared" si="1"/>
        <v>46</v>
      </c>
      <c r="N22" s="49">
        <f>+'Table 7 Local Revenue'!AC22+'Table 7 Local Revenue'!AG22+'Table 7 Local Revenue'!AK22</f>
        <v>6885441.5</v>
      </c>
      <c r="O22" s="49">
        <f t="shared" si="2"/>
        <v>1296.21</v>
      </c>
      <c r="P22" s="50">
        <f t="shared" si="3"/>
        <v>1.151562</v>
      </c>
      <c r="Q22" s="48">
        <f t="shared" si="4"/>
        <v>13</v>
      </c>
      <c r="U22" s="47">
        <v>58</v>
      </c>
      <c r="V22" s="48" t="s">
        <v>62</v>
      </c>
      <c r="W22" s="50">
        <v>1.091953</v>
      </c>
      <c r="X22" s="34">
        <f t="shared" si="5"/>
        <v>15</v>
      </c>
    </row>
    <row r="23" spans="1:24" ht="12.75">
      <c r="A23" s="33">
        <v>16</v>
      </c>
      <c r="B23" s="34" t="s">
        <v>21</v>
      </c>
      <c r="C23" s="34">
        <f>'Table 3 Levels 1&amp;2'!U24</f>
        <v>6967</v>
      </c>
      <c r="D23" s="35">
        <f>ROUND('Table 7 Local Revenue'!$AB$75*'Table 7 Local Revenue'!F23/1000,0)</f>
        <v>6895542</v>
      </c>
      <c r="E23" s="35">
        <f t="shared" si="6"/>
        <v>989.74</v>
      </c>
      <c r="F23" s="35">
        <f>ROUND('Table 7 Local Revenue'!$AD$75*'Table 7 Local Revenue'!AH23,0)</f>
        <v>4509118</v>
      </c>
      <c r="G23" s="35">
        <f t="shared" si="7"/>
        <v>647.21</v>
      </c>
      <c r="H23" s="35">
        <f>'Table 7 Local Revenue'!AK23</f>
        <v>323862</v>
      </c>
      <c r="I23" s="35">
        <f t="shared" si="8"/>
        <v>46.49</v>
      </c>
      <c r="J23" s="35">
        <f t="shared" si="9"/>
        <v>11728522</v>
      </c>
      <c r="K23" s="35">
        <f t="shared" si="10"/>
        <v>1683.44</v>
      </c>
      <c r="L23" s="44">
        <f t="shared" si="0"/>
        <v>0.916492</v>
      </c>
      <c r="M23" s="34">
        <f t="shared" si="1"/>
        <v>23</v>
      </c>
      <c r="N23" s="35">
        <f>+'Table 7 Local Revenue'!AC23+'Table 7 Local Revenue'!AG23+'Table 7 Local Revenue'!AK23</f>
        <v>15129963</v>
      </c>
      <c r="O23" s="35">
        <f t="shared" si="2"/>
        <v>2171.66</v>
      </c>
      <c r="P23" s="37">
        <f t="shared" si="3"/>
        <v>1.290013</v>
      </c>
      <c r="Q23" s="34">
        <f t="shared" si="4"/>
        <v>6</v>
      </c>
      <c r="U23" s="33">
        <v>59</v>
      </c>
      <c r="V23" s="34" t="s">
        <v>63</v>
      </c>
      <c r="W23" s="37">
        <v>1.085697</v>
      </c>
      <c r="X23" s="34">
        <f t="shared" si="5"/>
        <v>16</v>
      </c>
    </row>
    <row r="24" spans="1:24" ht="12.75">
      <c r="A24" s="33">
        <v>17</v>
      </c>
      <c r="B24" s="34" t="s">
        <v>22</v>
      </c>
      <c r="C24" s="34">
        <f>'Table 3 Levels 1&amp;2'!U25</f>
        <v>67184</v>
      </c>
      <c r="D24" s="35">
        <f>ROUND('Table 7 Local Revenue'!$AB$75*'Table 7 Local Revenue'!F24/1000,0)</f>
        <v>72115432</v>
      </c>
      <c r="E24" s="35">
        <f t="shared" si="6"/>
        <v>1073.4</v>
      </c>
      <c r="F24" s="35">
        <f>ROUND('Table 7 Local Revenue'!$AD$75*'Table 7 Local Revenue'!AH24,0)</f>
        <v>111877350</v>
      </c>
      <c r="G24" s="35">
        <f t="shared" si="7"/>
        <v>1665.24</v>
      </c>
      <c r="H24" s="35">
        <f>'Table 7 Local Revenue'!AK24</f>
        <v>3901160</v>
      </c>
      <c r="I24" s="35">
        <f t="shared" si="8"/>
        <v>58.07</v>
      </c>
      <c r="J24" s="35">
        <f t="shared" si="9"/>
        <v>187893942</v>
      </c>
      <c r="K24" s="35">
        <f t="shared" si="10"/>
        <v>2796.71</v>
      </c>
      <c r="L24" s="44">
        <f t="shared" si="0"/>
        <v>1.52257422</v>
      </c>
      <c r="M24" s="34">
        <f t="shared" si="1"/>
        <v>7</v>
      </c>
      <c r="N24" s="35">
        <f>+'Table 7 Local Revenue'!AC24+'Table 7 Local Revenue'!AG24+'Table 7 Local Revenue'!AK24</f>
        <v>202087964</v>
      </c>
      <c r="O24" s="35">
        <f t="shared" si="2"/>
        <v>3007.98</v>
      </c>
      <c r="P24" s="37">
        <f t="shared" si="3"/>
        <v>1.075542</v>
      </c>
      <c r="Q24" s="34">
        <f t="shared" si="4"/>
        <v>20</v>
      </c>
      <c r="U24" s="33">
        <v>25</v>
      </c>
      <c r="V24" s="34" t="s">
        <v>30</v>
      </c>
      <c r="W24" s="37">
        <v>1.085661</v>
      </c>
      <c r="X24" s="34">
        <f t="shared" si="5"/>
        <v>17</v>
      </c>
    </row>
    <row r="25" spans="1:24" ht="12.75">
      <c r="A25" s="33">
        <v>18</v>
      </c>
      <c r="B25" s="34" t="s">
        <v>23</v>
      </c>
      <c r="C25" s="34">
        <f>'Table 3 Levels 1&amp;2'!U26</f>
        <v>2607</v>
      </c>
      <c r="D25" s="35">
        <f>ROUND('Table 7 Local Revenue'!$AB$75*'Table 7 Local Revenue'!F25/1000,0)</f>
        <v>1097009</v>
      </c>
      <c r="E25" s="35">
        <f t="shared" si="6"/>
        <v>420.79</v>
      </c>
      <c r="F25" s="35">
        <f>ROUND('Table 7 Local Revenue'!$AD$75*'Table 7 Local Revenue'!AH25,0)</f>
        <v>896975</v>
      </c>
      <c r="G25" s="35">
        <f t="shared" si="7"/>
        <v>344.06</v>
      </c>
      <c r="H25" s="35">
        <f>'Table 7 Local Revenue'!AK25</f>
        <v>76134.5</v>
      </c>
      <c r="I25" s="35">
        <f t="shared" si="8"/>
        <v>29.2</v>
      </c>
      <c r="J25" s="35">
        <f t="shared" si="9"/>
        <v>2070118.5</v>
      </c>
      <c r="K25" s="35">
        <f t="shared" si="10"/>
        <v>794.06</v>
      </c>
      <c r="L25" s="44">
        <f t="shared" si="0"/>
        <v>0.43229912</v>
      </c>
      <c r="M25" s="34">
        <f t="shared" si="1"/>
        <v>63</v>
      </c>
      <c r="N25" s="35">
        <f>+'Table 7 Local Revenue'!AC25+'Table 7 Local Revenue'!AG25+'Table 7 Local Revenue'!AK25</f>
        <v>1836929.5</v>
      </c>
      <c r="O25" s="35">
        <f t="shared" si="2"/>
        <v>704.61</v>
      </c>
      <c r="P25" s="37">
        <f t="shared" si="3"/>
        <v>0.887351</v>
      </c>
      <c r="Q25" s="34">
        <f t="shared" si="4"/>
        <v>47</v>
      </c>
      <c r="U25" s="33">
        <v>40</v>
      </c>
      <c r="V25" s="34" t="s">
        <v>45</v>
      </c>
      <c r="W25" s="37">
        <v>1.079267</v>
      </c>
      <c r="X25" s="34">
        <f t="shared" si="5"/>
        <v>18</v>
      </c>
    </row>
    <row r="26" spans="1:24" ht="12.75">
      <c r="A26" s="33">
        <v>19</v>
      </c>
      <c r="B26" s="34" t="s">
        <v>24</v>
      </c>
      <c r="C26" s="34">
        <f>'Table 3 Levels 1&amp;2'!U27</f>
        <v>3696</v>
      </c>
      <c r="D26" s="35">
        <f>ROUND('Table 7 Local Revenue'!$AB$75*'Table 7 Local Revenue'!F26/1000,0)</f>
        <v>2232477</v>
      </c>
      <c r="E26" s="35">
        <f t="shared" si="6"/>
        <v>604.03</v>
      </c>
      <c r="F26" s="35">
        <f>ROUND('Table 7 Local Revenue'!$AD$75*'Table 7 Local Revenue'!AH26,0)</f>
        <v>2040480</v>
      </c>
      <c r="G26" s="35">
        <f t="shared" si="7"/>
        <v>552.08</v>
      </c>
      <c r="H26" s="35">
        <f>'Table 7 Local Revenue'!AK26</f>
        <v>79375.5</v>
      </c>
      <c r="I26" s="35">
        <f t="shared" si="8"/>
        <v>21.48</v>
      </c>
      <c r="J26" s="35">
        <f t="shared" si="9"/>
        <v>4352332.5</v>
      </c>
      <c r="K26" s="35">
        <f t="shared" si="10"/>
        <v>1177.58</v>
      </c>
      <c r="L26" s="44">
        <f t="shared" si="0"/>
        <v>0.64109362</v>
      </c>
      <c r="M26" s="34">
        <f t="shared" si="1"/>
        <v>43</v>
      </c>
      <c r="N26" s="35">
        <f>+'Table 7 Local Revenue'!AC26+'Table 7 Local Revenue'!AG26+'Table 7 Local Revenue'!AK26</f>
        <v>4096246.5</v>
      </c>
      <c r="O26" s="35">
        <f t="shared" si="2"/>
        <v>1108.29</v>
      </c>
      <c r="P26" s="37">
        <f t="shared" si="3"/>
        <v>0.941159</v>
      </c>
      <c r="Q26" s="34">
        <f t="shared" si="4"/>
        <v>42</v>
      </c>
      <c r="U26" s="33">
        <v>29</v>
      </c>
      <c r="V26" s="34" t="s">
        <v>34</v>
      </c>
      <c r="W26" s="37">
        <v>1.076004</v>
      </c>
      <c r="X26" s="34">
        <f t="shared" si="5"/>
        <v>19</v>
      </c>
    </row>
    <row r="27" spans="1:24" ht="12.75">
      <c r="A27" s="47">
        <v>20</v>
      </c>
      <c r="B27" s="48" t="s">
        <v>25</v>
      </c>
      <c r="C27" s="48">
        <f>'Table 3 Levels 1&amp;2'!U28</f>
        <v>8957</v>
      </c>
      <c r="D27" s="49">
        <f>ROUND('Table 7 Local Revenue'!$AB$75*'Table 7 Local Revenue'!F27/1000,0)</f>
        <v>4206384</v>
      </c>
      <c r="E27" s="49">
        <f t="shared" si="6"/>
        <v>469.62</v>
      </c>
      <c r="F27" s="49">
        <f>ROUND('Table 7 Local Revenue'!$AD$75*'Table 7 Local Revenue'!AH27,0)</f>
        <v>4402817</v>
      </c>
      <c r="G27" s="49">
        <f t="shared" si="7"/>
        <v>491.55</v>
      </c>
      <c r="H27" s="49">
        <f>'Table 7 Local Revenue'!AK27</f>
        <v>234613.5</v>
      </c>
      <c r="I27" s="49">
        <f t="shared" si="8"/>
        <v>26.19</v>
      </c>
      <c r="J27" s="49">
        <f t="shared" si="9"/>
        <v>8843814.5</v>
      </c>
      <c r="K27" s="49">
        <f t="shared" si="10"/>
        <v>987.36</v>
      </c>
      <c r="L27" s="55">
        <f t="shared" si="0"/>
        <v>0.53753477</v>
      </c>
      <c r="M27" s="48">
        <f t="shared" si="1"/>
        <v>53</v>
      </c>
      <c r="N27" s="49">
        <f>+'Table 7 Local Revenue'!AC27+'Table 7 Local Revenue'!AG27+'Table 7 Local Revenue'!AK27</f>
        <v>5810600.5</v>
      </c>
      <c r="O27" s="49">
        <f t="shared" si="2"/>
        <v>648.72</v>
      </c>
      <c r="P27" s="50">
        <f t="shared" si="3"/>
        <v>0.657025</v>
      </c>
      <c r="Q27" s="48">
        <f t="shared" si="4"/>
        <v>60</v>
      </c>
      <c r="U27" s="47">
        <v>60</v>
      </c>
      <c r="V27" s="48" t="s">
        <v>64</v>
      </c>
      <c r="W27" s="50">
        <v>1.063561</v>
      </c>
      <c r="X27" s="34">
        <f t="shared" si="5"/>
        <v>20</v>
      </c>
    </row>
    <row r="28" spans="1:24" ht="12.75">
      <c r="A28" s="33">
        <v>21</v>
      </c>
      <c r="B28" s="34" t="s">
        <v>26</v>
      </c>
      <c r="C28" s="34">
        <f>'Table 3 Levels 1&amp;2'!U29</f>
        <v>5326</v>
      </c>
      <c r="D28" s="35">
        <f>ROUND('Table 7 Local Revenue'!$AB$75*'Table 7 Local Revenue'!F28/1000,0)</f>
        <v>1665028</v>
      </c>
      <c r="E28" s="35">
        <f t="shared" si="6"/>
        <v>312.62</v>
      </c>
      <c r="F28" s="35">
        <f>ROUND('Table 7 Local Revenue'!$AD$75*'Table 7 Local Revenue'!AH28,0)</f>
        <v>3152754</v>
      </c>
      <c r="G28" s="35">
        <f t="shared" si="7"/>
        <v>591.96</v>
      </c>
      <c r="H28" s="35">
        <f>'Table 7 Local Revenue'!AK28</f>
        <v>178834</v>
      </c>
      <c r="I28" s="35">
        <f t="shared" si="8"/>
        <v>33.58</v>
      </c>
      <c r="J28" s="35">
        <f t="shared" si="9"/>
        <v>4996616</v>
      </c>
      <c r="K28" s="35">
        <f t="shared" si="10"/>
        <v>938.16</v>
      </c>
      <c r="L28" s="44">
        <f t="shared" si="0"/>
        <v>0.5107495</v>
      </c>
      <c r="M28" s="34">
        <f t="shared" si="1"/>
        <v>58</v>
      </c>
      <c r="N28" s="35">
        <f>+'Table 7 Local Revenue'!AC28+'Table 7 Local Revenue'!AG28+'Table 7 Local Revenue'!AK28</f>
        <v>3327979</v>
      </c>
      <c r="O28" s="35">
        <f t="shared" si="2"/>
        <v>624.86</v>
      </c>
      <c r="P28" s="37">
        <f t="shared" si="3"/>
        <v>0.666048</v>
      </c>
      <c r="Q28" s="34">
        <f t="shared" si="4"/>
        <v>59</v>
      </c>
      <c r="U28" s="33">
        <v>17</v>
      </c>
      <c r="V28" s="34" t="s">
        <v>22</v>
      </c>
      <c r="W28" s="37">
        <v>1.063325</v>
      </c>
      <c r="X28" s="34">
        <f t="shared" si="5"/>
        <v>21</v>
      </c>
    </row>
    <row r="29" spans="1:24" ht="12.75">
      <c r="A29" s="33">
        <v>22</v>
      </c>
      <c r="B29" s="34" t="s">
        <v>27</v>
      </c>
      <c r="C29" s="34">
        <f>'Table 3 Levels 1&amp;2'!U30</f>
        <v>5213</v>
      </c>
      <c r="D29" s="35">
        <f>ROUND('Table 7 Local Revenue'!$AB$75*'Table 7 Local Revenue'!F29/1000,0)</f>
        <v>1116588</v>
      </c>
      <c r="E29" s="35">
        <f t="shared" si="6"/>
        <v>214.19</v>
      </c>
      <c r="F29" s="35">
        <f>ROUND('Table 7 Local Revenue'!$AD$75*'Table 7 Local Revenue'!AH29,0)</f>
        <v>1385522</v>
      </c>
      <c r="G29" s="35">
        <f t="shared" si="7"/>
        <v>265.78</v>
      </c>
      <c r="H29" s="35">
        <f>'Table 7 Local Revenue'!AK29</f>
        <v>363306.5</v>
      </c>
      <c r="I29" s="35">
        <f t="shared" si="8"/>
        <v>69.69</v>
      </c>
      <c r="J29" s="35">
        <f t="shared" si="9"/>
        <v>2865416.5</v>
      </c>
      <c r="K29" s="35">
        <f t="shared" si="10"/>
        <v>549.67</v>
      </c>
      <c r="L29" s="44">
        <f t="shared" si="0"/>
        <v>0.29924925</v>
      </c>
      <c r="M29" s="34">
        <f t="shared" si="1"/>
        <v>66</v>
      </c>
      <c r="N29" s="35">
        <f>+'Table 7 Local Revenue'!AC29+'Table 7 Local Revenue'!AG29+'Table 7 Local Revenue'!AK29</f>
        <v>2626539.5</v>
      </c>
      <c r="O29" s="35">
        <f t="shared" si="2"/>
        <v>503.84</v>
      </c>
      <c r="P29" s="37">
        <f t="shared" si="3"/>
        <v>0.916623</v>
      </c>
      <c r="Q29" s="34">
        <f t="shared" si="4"/>
        <v>43</v>
      </c>
      <c r="U29" s="33">
        <v>7</v>
      </c>
      <c r="V29" s="34" t="s">
        <v>12</v>
      </c>
      <c r="W29" s="37">
        <v>1.052926</v>
      </c>
      <c r="X29" s="34">
        <f t="shared" si="5"/>
        <v>22</v>
      </c>
    </row>
    <row r="30" spans="1:24" ht="12.75">
      <c r="A30" s="33">
        <v>23</v>
      </c>
      <c r="B30" s="34" t="s">
        <v>28</v>
      </c>
      <c r="C30" s="34">
        <f>'Table 3 Levels 1&amp;2'!U31</f>
        <v>20018</v>
      </c>
      <c r="D30" s="35">
        <f>ROUND('Table 7 Local Revenue'!$AB$75*'Table 7 Local Revenue'!F30/1000,0)</f>
        <v>8886587</v>
      </c>
      <c r="E30" s="35">
        <f t="shared" si="6"/>
        <v>443.93</v>
      </c>
      <c r="F30" s="35">
        <f>ROUND('Table 7 Local Revenue'!$AD$75*'Table 7 Local Revenue'!AH30,0)</f>
        <v>17535413</v>
      </c>
      <c r="G30" s="35">
        <f t="shared" si="7"/>
        <v>875.98</v>
      </c>
      <c r="H30" s="35">
        <f>'Table 7 Local Revenue'!AK30</f>
        <v>645741</v>
      </c>
      <c r="I30" s="35">
        <f t="shared" si="8"/>
        <v>32.26</v>
      </c>
      <c r="J30" s="35">
        <f t="shared" si="9"/>
        <v>27067741</v>
      </c>
      <c r="K30" s="35">
        <f t="shared" si="10"/>
        <v>1352.17</v>
      </c>
      <c r="L30" s="44">
        <f t="shared" si="0"/>
        <v>0.73614325</v>
      </c>
      <c r="M30" s="34">
        <f t="shared" si="1"/>
        <v>33</v>
      </c>
      <c r="N30" s="35">
        <f>+'Table 7 Local Revenue'!AC30+'Table 7 Local Revenue'!AG30+'Table 7 Local Revenue'!AK30</f>
        <v>27871207</v>
      </c>
      <c r="O30" s="35">
        <f t="shared" si="2"/>
        <v>1392.31</v>
      </c>
      <c r="P30" s="37">
        <f t="shared" si="3"/>
        <v>1.029686</v>
      </c>
      <c r="Q30" s="34">
        <f t="shared" si="4"/>
        <v>27</v>
      </c>
      <c r="U30" s="33">
        <v>12</v>
      </c>
      <c r="V30" s="34" t="s">
        <v>17</v>
      </c>
      <c r="W30" s="37">
        <v>1.050267</v>
      </c>
      <c r="X30" s="34">
        <f t="shared" si="5"/>
        <v>23</v>
      </c>
    </row>
    <row r="31" spans="1:24" ht="12.75">
      <c r="A31" s="33">
        <v>24</v>
      </c>
      <c r="B31" s="34" t="s">
        <v>29</v>
      </c>
      <c r="C31" s="34">
        <f>'Table 3 Levels 1&amp;2'!U32</f>
        <v>6931</v>
      </c>
      <c r="D31" s="35">
        <f>ROUND('Table 7 Local Revenue'!$AB$75*'Table 7 Local Revenue'!F31/1000,0)</f>
        <v>10480866</v>
      </c>
      <c r="E31" s="35">
        <f t="shared" si="6"/>
        <v>1512.17</v>
      </c>
      <c r="F31" s="35">
        <f>ROUND('Table 7 Local Revenue'!$AD$75*'Table 7 Local Revenue'!AH31,0)</f>
        <v>10217215</v>
      </c>
      <c r="G31" s="35">
        <f t="shared" si="7"/>
        <v>1474.13</v>
      </c>
      <c r="H31" s="35">
        <f>'Table 7 Local Revenue'!AK31</f>
        <v>179180</v>
      </c>
      <c r="I31" s="35">
        <f t="shared" si="8"/>
        <v>25.85</v>
      </c>
      <c r="J31" s="35">
        <f t="shared" si="9"/>
        <v>20877261</v>
      </c>
      <c r="K31" s="35">
        <f t="shared" si="10"/>
        <v>3012.16</v>
      </c>
      <c r="L31" s="44">
        <f t="shared" si="0"/>
        <v>1.63986869</v>
      </c>
      <c r="M31" s="34">
        <f t="shared" si="1"/>
        <v>5</v>
      </c>
      <c r="N31" s="35">
        <f>+'Table 7 Local Revenue'!AC31+'Table 7 Local Revenue'!AG31+'Table 7 Local Revenue'!AK31</f>
        <v>19714241</v>
      </c>
      <c r="O31" s="35">
        <f t="shared" si="2"/>
        <v>2844.36</v>
      </c>
      <c r="P31" s="37">
        <f t="shared" si="3"/>
        <v>0.944292</v>
      </c>
      <c r="Q31" s="34">
        <f t="shared" si="4"/>
        <v>41</v>
      </c>
      <c r="U31" s="33">
        <v>13</v>
      </c>
      <c r="V31" s="34" t="s">
        <v>18</v>
      </c>
      <c r="W31" s="37">
        <v>1.047029</v>
      </c>
      <c r="X31" s="34">
        <f t="shared" si="5"/>
        <v>24</v>
      </c>
    </row>
    <row r="32" spans="1:24" ht="12.75">
      <c r="A32" s="47">
        <v>25</v>
      </c>
      <c r="B32" s="48" t="s">
        <v>30</v>
      </c>
      <c r="C32" s="48">
        <f>'Table 3 Levels 1&amp;2'!U33</f>
        <v>3630</v>
      </c>
      <c r="D32" s="49">
        <f>ROUND('Table 7 Local Revenue'!$AB$75*'Table 7 Local Revenue'!F32/1000,0)</f>
        <v>2029457</v>
      </c>
      <c r="E32" s="49">
        <f t="shared" si="6"/>
        <v>559.08</v>
      </c>
      <c r="F32" s="49">
        <f>ROUND('Table 7 Local Revenue'!$AD$75*'Table 7 Local Revenue'!AH32,0)</f>
        <v>2650989</v>
      </c>
      <c r="G32" s="49">
        <f t="shared" si="7"/>
        <v>730.3</v>
      </c>
      <c r="H32" s="49">
        <f>'Table 7 Local Revenue'!AK32</f>
        <v>101670.5</v>
      </c>
      <c r="I32" s="49">
        <f t="shared" si="8"/>
        <v>28.01</v>
      </c>
      <c r="J32" s="49">
        <f t="shared" si="9"/>
        <v>4782116.5</v>
      </c>
      <c r="K32" s="49">
        <f t="shared" si="10"/>
        <v>1317.39</v>
      </c>
      <c r="L32" s="55">
        <f t="shared" si="0"/>
        <v>0.71720845</v>
      </c>
      <c r="M32" s="48">
        <f t="shared" si="1"/>
        <v>34</v>
      </c>
      <c r="N32" s="49">
        <f>+'Table 7 Local Revenue'!AC32+'Table 7 Local Revenue'!AG32+'Table 7 Local Revenue'!AK32</f>
        <v>6109158.5</v>
      </c>
      <c r="O32" s="49">
        <f t="shared" si="2"/>
        <v>1682.96</v>
      </c>
      <c r="P32" s="50">
        <f t="shared" si="3"/>
        <v>1.277496</v>
      </c>
      <c r="Q32" s="48">
        <f t="shared" si="4"/>
        <v>7</v>
      </c>
      <c r="U32" s="47">
        <v>23</v>
      </c>
      <c r="V32" s="48" t="s">
        <v>28</v>
      </c>
      <c r="W32" s="50">
        <v>1.028281</v>
      </c>
      <c r="X32" s="34">
        <f t="shared" si="5"/>
        <v>25</v>
      </c>
    </row>
    <row r="33" spans="1:24" ht="12.75">
      <c r="A33" s="33">
        <v>26</v>
      </c>
      <c r="B33" s="34" t="s">
        <v>31</v>
      </c>
      <c r="C33" s="34">
        <f>'Table 3 Levels 1&amp;2'!U34</f>
        <v>69734</v>
      </c>
      <c r="D33" s="35">
        <f>ROUND('Table 7 Local Revenue'!$AB$75*'Table 7 Local Revenue'!F33/1000,0)</f>
        <v>76087649</v>
      </c>
      <c r="E33" s="35">
        <f t="shared" si="6"/>
        <v>1091.11</v>
      </c>
      <c r="F33" s="35">
        <f>ROUND('Table 7 Local Revenue'!$AD$75*'Table 7 Local Revenue'!AH33,0)</f>
        <v>130122413</v>
      </c>
      <c r="G33" s="35">
        <f t="shared" si="7"/>
        <v>1865.98</v>
      </c>
      <c r="H33" s="35">
        <f>'Table 7 Local Revenue'!AK33</f>
        <v>2033561.5</v>
      </c>
      <c r="I33" s="35">
        <f t="shared" si="8"/>
        <v>29.16</v>
      </c>
      <c r="J33" s="35">
        <f t="shared" si="9"/>
        <v>208243623.5</v>
      </c>
      <c r="K33" s="35">
        <f t="shared" si="10"/>
        <v>2986.26</v>
      </c>
      <c r="L33" s="44">
        <f t="shared" si="0"/>
        <v>1.62576831</v>
      </c>
      <c r="M33" s="34">
        <f t="shared" si="1"/>
        <v>6</v>
      </c>
      <c r="N33" s="35">
        <f>+'Table 7 Local Revenue'!AC33+'Table 7 Local Revenue'!AG33+'Table 7 Local Revenue'!AK33</f>
        <v>167604384.5</v>
      </c>
      <c r="O33" s="35">
        <f t="shared" si="2"/>
        <v>2403.48</v>
      </c>
      <c r="P33" s="37">
        <f t="shared" si="3"/>
        <v>0.804846</v>
      </c>
      <c r="Q33" s="34">
        <f t="shared" si="4"/>
        <v>50</v>
      </c>
      <c r="U33" s="33">
        <v>11</v>
      </c>
      <c r="V33" s="34" t="s">
        <v>16</v>
      </c>
      <c r="W33" s="37">
        <v>1.027208</v>
      </c>
      <c r="X33" s="34">
        <f t="shared" si="5"/>
        <v>26</v>
      </c>
    </row>
    <row r="34" spans="1:24" ht="12.75">
      <c r="A34" s="33">
        <v>27</v>
      </c>
      <c r="B34" s="34" t="s">
        <v>32</v>
      </c>
      <c r="C34" s="34">
        <f>'Table 3 Levels 1&amp;2'!U35</f>
        <v>8233</v>
      </c>
      <c r="D34" s="35">
        <f>ROUND('Table 7 Local Revenue'!$AB$75*'Table 7 Local Revenue'!F34/1000,0)</f>
        <v>3805490</v>
      </c>
      <c r="E34" s="35">
        <f t="shared" si="6"/>
        <v>462.22</v>
      </c>
      <c r="F34" s="35">
        <f>ROUND('Table 7 Local Revenue'!$AD$75*'Table 7 Local Revenue'!AH34,0)</f>
        <v>6092435</v>
      </c>
      <c r="G34" s="35">
        <f t="shared" si="7"/>
        <v>740</v>
      </c>
      <c r="H34" s="35">
        <f>'Table 7 Local Revenue'!AK34</f>
        <v>305832</v>
      </c>
      <c r="I34" s="35">
        <f t="shared" si="8"/>
        <v>37.15</v>
      </c>
      <c r="J34" s="35">
        <f t="shared" si="9"/>
        <v>10203757</v>
      </c>
      <c r="K34" s="35">
        <f t="shared" si="10"/>
        <v>1239.37</v>
      </c>
      <c r="L34" s="44">
        <f t="shared" si="0"/>
        <v>0.6747331</v>
      </c>
      <c r="M34" s="34">
        <f t="shared" si="1"/>
        <v>37</v>
      </c>
      <c r="N34" s="35">
        <f>+'Table 7 Local Revenue'!AC34+'Table 7 Local Revenue'!AG34+'Table 7 Local Revenue'!AK34</f>
        <v>10400662</v>
      </c>
      <c r="O34" s="35">
        <f t="shared" si="2"/>
        <v>1263.29</v>
      </c>
      <c r="P34" s="37">
        <f t="shared" si="3"/>
        <v>1.0193</v>
      </c>
      <c r="Q34" s="34">
        <f t="shared" si="4"/>
        <v>30</v>
      </c>
      <c r="U34" s="33">
        <v>47</v>
      </c>
      <c r="V34" s="34" t="s">
        <v>52</v>
      </c>
      <c r="W34" s="37">
        <v>1.025454</v>
      </c>
      <c r="X34" s="34">
        <f t="shared" si="5"/>
        <v>27</v>
      </c>
    </row>
    <row r="35" spans="1:24" ht="12.75">
      <c r="A35" s="33">
        <v>28</v>
      </c>
      <c r="B35" s="34" t="s">
        <v>33</v>
      </c>
      <c r="C35" s="34">
        <f>'Table 3 Levels 1&amp;2'!U36</f>
        <v>37669</v>
      </c>
      <c r="D35" s="35">
        <f>ROUND('Table 7 Local Revenue'!$AB$75*'Table 7 Local Revenue'!F35/1000,0)</f>
        <v>26100330</v>
      </c>
      <c r="E35" s="35">
        <f t="shared" si="6"/>
        <v>692.89</v>
      </c>
      <c r="F35" s="35">
        <f>ROUND('Table 7 Local Revenue'!$AD$75*'Table 7 Local Revenue'!AH35,0)</f>
        <v>63077204</v>
      </c>
      <c r="G35" s="35">
        <f t="shared" si="7"/>
        <v>1674.51</v>
      </c>
      <c r="H35" s="35">
        <f>'Table 7 Local Revenue'!AK35</f>
        <v>2188507</v>
      </c>
      <c r="I35" s="35">
        <f t="shared" si="8"/>
        <v>58.1</v>
      </c>
      <c r="J35" s="35">
        <f t="shared" si="9"/>
        <v>91366041</v>
      </c>
      <c r="K35" s="35">
        <f t="shared" si="10"/>
        <v>2425.5</v>
      </c>
      <c r="L35" s="44">
        <f t="shared" si="0"/>
        <v>1.32048148</v>
      </c>
      <c r="M35" s="34">
        <f t="shared" si="1"/>
        <v>10</v>
      </c>
      <c r="N35" s="35">
        <f>+'Table 7 Local Revenue'!AC35+'Table 7 Local Revenue'!AG35+'Table 7 Local Revenue'!AK35</f>
        <v>75329503</v>
      </c>
      <c r="O35" s="35">
        <f t="shared" si="2"/>
        <v>1999.77</v>
      </c>
      <c r="P35" s="37">
        <f t="shared" si="3"/>
        <v>0.824477</v>
      </c>
      <c r="Q35" s="34">
        <f t="shared" si="4"/>
        <v>49</v>
      </c>
      <c r="U35" s="33">
        <v>19</v>
      </c>
      <c r="V35" s="34" t="s">
        <v>24</v>
      </c>
      <c r="W35" s="37">
        <v>1.012432</v>
      </c>
      <c r="X35" s="34">
        <f t="shared" si="5"/>
        <v>28</v>
      </c>
    </row>
    <row r="36" spans="1:24" ht="12.75">
      <c r="A36" s="33">
        <v>29</v>
      </c>
      <c r="B36" s="34" t="s">
        <v>34</v>
      </c>
      <c r="C36" s="34">
        <f>'Table 3 Levels 1&amp;2'!U37</f>
        <v>20041</v>
      </c>
      <c r="D36" s="35">
        <f>ROUND('Table 7 Local Revenue'!$AB$75*'Table 7 Local Revenue'!F36/1000,0)</f>
        <v>12247903</v>
      </c>
      <c r="E36" s="35">
        <f t="shared" si="6"/>
        <v>611.14</v>
      </c>
      <c r="F36" s="35">
        <f>ROUND('Table 7 Local Revenue'!$AD$75*'Table 7 Local Revenue'!AH36,0)</f>
        <v>16594191</v>
      </c>
      <c r="G36" s="35">
        <f t="shared" si="7"/>
        <v>828.01</v>
      </c>
      <c r="H36" s="35">
        <f>'Table 7 Local Revenue'!AK36</f>
        <v>1256133.5</v>
      </c>
      <c r="I36" s="35">
        <f t="shared" si="8"/>
        <v>62.68</v>
      </c>
      <c r="J36" s="35">
        <f t="shared" si="9"/>
        <v>30098227.5</v>
      </c>
      <c r="K36" s="35">
        <f t="shared" si="10"/>
        <v>1501.83</v>
      </c>
      <c r="L36" s="44">
        <f t="shared" si="0"/>
        <v>0.81762057</v>
      </c>
      <c r="M36" s="34">
        <f t="shared" si="1"/>
        <v>28</v>
      </c>
      <c r="N36" s="35">
        <f>+'Table 7 Local Revenue'!AC36+'Table 7 Local Revenue'!AG36+'Table 7 Local Revenue'!AK36</f>
        <v>32135638.5</v>
      </c>
      <c r="O36" s="35">
        <f t="shared" si="2"/>
        <v>1603.49</v>
      </c>
      <c r="P36" s="37">
        <f t="shared" si="3"/>
        <v>1.067691</v>
      </c>
      <c r="Q36" s="34">
        <f t="shared" si="4"/>
        <v>21</v>
      </c>
      <c r="U36" s="33">
        <v>50</v>
      </c>
      <c r="V36" s="34" t="s">
        <v>54</v>
      </c>
      <c r="W36" s="37">
        <v>1.002643</v>
      </c>
      <c r="X36" s="34">
        <f t="shared" si="5"/>
        <v>29</v>
      </c>
    </row>
    <row r="37" spans="1:24" ht="12.75">
      <c r="A37" s="47">
        <v>30</v>
      </c>
      <c r="B37" s="48" t="s">
        <v>35</v>
      </c>
      <c r="C37" s="48">
        <f>'Table 3 Levels 1&amp;2'!U38</f>
        <v>3521</v>
      </c>
      <c r="D37" s="49">
        <f>ROUND('Table 7 Local Revenue'!$AB$75*'Table 7 Local Revenue'!F37/1000,0)</f>
        <v>1601041</v>
      </c>
      <c r="E37" s="49">
        <f t="shared" si="6"/>
        <v>454.71</v>
      </c>
      <c r="F37" s="49">
        <f>ROUND('Table 7 Local Revenue'!$AD$75*'Table 7 Local Revenue'!AH37,0)</f>
        <v>2480582</v>
      </c>
      <c r="G37" s="49">
        <f t="shared" si="7"/>
        <v>704.51</v>
      </c>
      <c r="H37" s="49">
        <f>'Table 7 Local Revenue'!AK37</f>
        <v>71122</v>
      </c>
      <c r="I37" s="49">
        <f t="shared" si="8"/>
        <v>20.2</v>
      </c>
      <c r="J37" s="49">
        <f t="shared" si="9"/>
        <v>4152745</v>
      </c>
      <c r="K37" s="49">
        <f t="shared" si="10"/>
        <v>1179.42</v>
      </c>
      <c r="L37" s="55">
        <f t="shared" si="0"/>
        <v>0.64209535</v>
      </c>
      <c r="M37" s="48">
        <f t="shared" si="1"/>
        <v>41</v>
      </c>
      <c r="N37" s="49">
        <f>+'Table 7 Local Revenue'!AC37+'Table 7 Local Revenue'!AG37+'Table 7 Local Revenue'!AK37</f>
        <v>4636794</v>
      </c>
      <c r="O37" s="49">
        <f t="shared" si="2"/>
        <v>1316.9</v>
      </c>
      <c r="P37" s="50">
        <f t="shared" si="3"/>
        <v>1.116566</v>
      </c>
      <c r="Q37" s="48">
        <f t="shared" si="4"/>
        <v>18</v>
      </c>
      <c r="U37" s="47">
        <v>27</v>
      </c>
      <c r="V37" s="48" t="s">
        <v>32</v>
      </c>
      <c r="W37" s="50">
        <v>0.985306</v>
      </c>
      <c r="X37" s="34">
        <f t="shared" si="5"/>
        <v>30</v>
      </c>
    </row>
    <row r="38" spans="1:24" ht="12.75">
      <c r="A38" s="33">
        <v>31</v>
      </c>
      <c r="B38" s="34" t="s">
        <v>36</v>
      </c>
      <c r="C38" s="34">
        <f>'Table 3 Levels 1&amp;2'!U39</f>
        <v>8759</v>
      </c>
      <c r="D38" s="35">
        <f>ROUND('Table 7 Local Revenue'!$AB$75*'Table 7 Local Revenue'!F38/1000,0)</f>
        <v>5766730</v>
      </c>
      <c r="E38" s="35">
        <f t="shared" si="6"/>
        <v>658.38</v>
      </c>
      <c r="F38" s="35">
        <f>ROUND('Table 7 Local Revenue'!$AD$75*'Table 7 Local Revenue'!AH38,0)</f>
        <v>8611335</v>
      </c>
      <c r="G38" s="35">
        <f t="shared" si="7"/>
        <v>983.14</v>
      </c>
      <c r="H38" s="35">
        <f>'Table 7 Local Revenue'!AK38</f>
        <v>277291</v>
      </c>
      <c r="I38" s="35">
        <f t="shared" si="8"/>
        <v>31.66</v>
      </c>
      <c r="J38" s="35">
        <f t="shared" si="9"/>
        <v>14655356</v>
      </c>
      <c r="K38" s="35">
        <f t="shared" si="10"/>
        <v>1673.18</v>
      </c>
      <c r="L38" s="44">
        <f t="shared" si="0"/>
        <v>0.91090629</v>
      </c>
      <c r="M38" s="34">
        <f t="shared" si="1"/>
        <v>24</v>
      </c>
      <c r="N38" s="35">
        <f>+'Table 7 Local Revenue'!AC38+'Table 7 Local Revenue'!AG38+'Table 7 Local Revenue'!AK38</f>
        <v>16881603</v>
      </c>
      <c r="O38" s="35">
        <f t="shared" si="2"/>
        <v>1927.34</v>
      </c>
      <c r="P38" s="37">
        <f t="shared" si="3"/>
        <v>1.151902</v>
      </c>
      <c r="Q38" s="34">
        <f t="shared" si="4"/>
        <v>12</v>
      </c>
      <c r="U38" s="33">
        <v>8</v>
      </c>
      <c r="V38" s="34" t="s">
        <v>13</v>
      </c>
      <c r="W38" s="37">
        <v>0.984467</v>
      </c>
      <c r="X38" s="34">
        <f t="shared" si="5"/>
        <v>31</v>
      </c>
    </row>
    <row r="39" spans="1:24" ht="12.75">
      <c r="A39" s="33">
        <v>32</v>
      </c>
      <c r="B39" s="34" t="s">
        <v>37</v>
      </c>
      <c r="C39" s="34">
        <f>'Table 3 Levels 1&amp;2'!U40</f>
        <v>24889</v>
      </c>
      <c r="D39" s="35">
        <f>ROUND('Table 7 Local Revenue'!$AB$75*'Table 7 Local Revenue'!F39/1000,0)</f>
        <v>5631156</v>
      </c>
      <c r="E39" s="35">
        <f t="shared" si="6"/>
        <v>226.25</v>
      </c>
      <c r="F39" s="35">
        <f>ROUND('Table 7 Local Revenue'!$AD$75*'Table 7 Local Revenue'!AH39,0)</f>
        <v>12764637</v>
      </c>
      <c r="G39" s="35">
        <f t="shared" si="7"/>
        <v>512.86</v>
      </c>
      <c r="H39" s="35">
        <f>'Table 7 Local Revenue'!AK39</f>
        <v>707868.5</v>
      </c>
      <c r="I39" s="35">
        <f t="shared" si="8"/>
        <v>28.44</v>
      </c>
      <c r="J39" s="35">
        <f t="shared" si="9"/>
        <v>19103661.5</v>
      </c>
      <c r="K39" s="35">
        <f t="shared" si="10"/>
        <v>767.55</v>
      </c>
      <c r="L39" s="44">
        <f t="shared" si="0"/>
        <v>0.41786665</v>
      </c>
      <c r="M39" s="34">
        <f t="shared" si="1"/>
        <v>64</v>
      </c>
      <c r="N39" s="35">
        <f>+'Table 7 Local Revenue'!AC39+'Table 7 Local Revenue'!AG39+'Table 7 Local Revenue'!AK39</f>
        <v>25049862.5</v>
      </c>
      <c r="O39" s="35">
        <f t="shared" si="2"/>
        <v>1006.46</v>
      </c>
      <c r="P39" s="37">
        <f t="shared" si="3"/>
        <v>1.311263</v>
      </c>
      <c r="Q39" s="34">
        <f t="shared" si="4"/>
        <v>5</v>
      </c>
      <c r="U39" s="33">
        <v>10</v>
      </c>
      <c r="V39" s="34" t="s">
        <v>15</v>
      </c>
      <c r="W39" s="37">
        <v>0.983616</v>
      </c>
      <c r="X39" s="34">
        <f t="shared" si="5"/>
        <v>32</v>
      </c>
    </row>
    <row r="40" spans="1:26" ht="12.75">
      <c r="A40" s="33">
        <v>33</v>
      </c>
      <c r="B40" s="34" t="s">
        <v>38</v>
      </c>
      <c r="C40" s="34">
        <f>'Table 3 Levels 1&amp;2'!U41</f>
        <v>3464</v>
      </c>
      <c r="D40" s="35">
        <f>ROUND('Table 7 Local Revenue'!$AB$75*'Table 7 Local Revenue'!F40/1000,0)</f>
        <v>1735814</v>
      </c>
      <c r="E40" s="35">
        <f t="shared" si="6"/>
        <v>501.1</v>
      </c>
      <c r="F40" s="35">
        <f>ROUND('Table 7 Local Revenue'!$AD$75*'Table 7 Local Revenue'!AH40,0)</f>
        <v>1629495</v>
      </c>
      <c r="G40" s="35">
        <f t="shared" si="7"/>
        <v>470.41</v>
      </c>
      <c r="H40" s="35">
        <f>'Table 7 Local Revenue'!AK40</f>
        <v>69004.5</v>
      </c>
      <c r="I40" s="35">
        <f t="shared" si="8"/>
        <v>19.92</v>
      </c>
      <c r="J40" s="35">
        <f t="shared" si="9"/>
        <v>3434313.5</v>
      </c>
      <c r="K40" s="35">
        <f t="shared" si="10"/>
        <v>991.43</v>
      </c>
      <c r="L40" s="44">
        <f aca="true" t="shared" si="11" ref="L40:L71">ROUND(K40/K$75,8)</f>
        <v>0.53975055</v>
      </c>
      <c r="M40" s="34">
        <f aca="true" t="shared" si="12" ref="M40:M71">RANK(L40,L$8:L$73,0)</f>
        <v>51</v>
      </c>
      <c r="N40" s="35">
        <f>+'Table 7 Local Revenue'!AC40+'Table 7 Local Revenue'!AG40+'Table 7 Local Revenue'!AK40</f>
        <v>1819150.5</v>
      </c>
      <c r="O40" s="35">
        <f aca="true" t="shared" si="13" ref="O40:O71">ROUND(N40/C40,2)</f>
        <v>525.16</v>
      </c>
      <c r="P40" s="37">
        <f aca="true" t="shared" si="14" ref="P40:P71">ROUND(O40/K40,6)</f>
        <v>0.5297</v>
      </c>
      <c r="Q40" s="34">
        <f aca="true" t="shared" si="15" ref="Q40:Q71">RANK(P40,P$8:P$73,0)</f>
        <v>66</v>
      </c>
      <c r="U40" s="47">
        <v>36</v>
      </c>
      <c r="V40" s="48" t="s">
        <v>41</v>
      </c>
      <c r="W40" s="50">
        <v>0.980651</v>
      </c>
      <c r="X40" s="48">
        <f t="shared" si="5"/>
        <v>33</v>
      </c>
      <c r="Y40" s="200" t="s">
        <v>583</v>
      </c>
      <c r="Z40" s="444">
        <f>MEDIAN(W8:W73)</f>
        <v>0.980218</v>
      </c>
    </row>
    <row r="41" spans="1:24" ht="12.75">
      <c r="A41" s="33">
        <v>34</v>
      </c>
      <c r="B41" s="34" t="s">
        <v>39</v>
      </c>
      <c r="C41" s="34">
        <f>'Table 3 Levels 1&amp;2'!U42</f>
        <v>7498</v>
      </c>
      <c r="D41" s="35">
        <f>ROUND('Table 7 Local Revenue'!$AB$75*'Table 7 Local Revenue'!F41/1000,0)</f>
        <v>4221742</v>
      </c>
      <c r="E41" s="35">
        <f t="shared" si="6"/>
        <v>563.05</v>
      </c>
      <c r="F41" s="35">
        <f>ROUND('Table 7 Local Revenue'!$AD$75*'Table 7 Local Revenue'!AH41,0)</f>
        <v>5008946</v>
      </c>
      <c r="G41" s="35">
        <f t="shared" si="7"/>
        <v>668.04</v>
      </c>
      <c r="H41" s="35">
        <f>'Table 7 Local Revenue'!AK41</f>
        <v>295833.5</v>
      </c>
      <c r="I41" s="35">
        <f t="shared" si="8"/>
        <v>39.45</v>
      </c>
      <c r="J41" s="35">
        <f t="shared" si="9"/>
        <v>9526521.5</v>
      </c>
      <c r="K41" s="35">
        <f t="shared" si="10"/>
        <v>1270.54</v>
      </c>
      <c r="L41" s="44">
        <f t="shared" si="11"/>
        <v>0.69170255</v>
      </c>
      <c r="M41" s="34">
        <f t="shared" si="12"/>
        <v>36</v>
      </c>
      <c r="N41" s="35">
        <f>+'Table 7 Local Revenue'!AC41+'Table 7 Local Revenue'!AG41+'Table 7 Local Revenue'!AK41</f>
        <v>7196947.5</v>
      </c>
      <c r="O41" s="35">
        <f t="shared" si="13"/>
        <v>959.85</v>
      </c>
      <c r="P41" s="37">
        <f t="shared" si="14"/>
        <v>0.755466</v>
      </c>
      <c r="Q41" s="34">
        <f t="shared" si="15"/>
        <v>55</v>
      </c>
      <c r="U41" s="33">
        <v>51</v>
      </c>
      <c r="V41" s="34" t="s">
        <v>55</v>
      </c>
      <c r="W41" s="37">
        <v>0.979785</v>
      </c>
      <c r="X41" s="34">
        <f t="shared" si="5"/>
        <v>34</v>
      </c>
    </row>
    <row r="42" spans="1:24" ht="12.75">
      <c r="A42" s="47">
        <v>35</v>
      </c>
      <c r="B42" s="48" t="s">
        <v>40</v>
      </c>
      <c r="C42" s="48">
        <f>'Table 3 Levels 1&amp;2'!U43</f>
        <v>9100</v>
      </c>
      <c r="D42" s="49">
        <f>ROUND('Table 7 Local Revenue'!$AB$75*'Table 7 Local Revenue'!F42/1000,0)</f>
        <v>4420366</v>
      </c>
      <c r="E42" s="49">
        <f t="shared" si="6"/>
        <v>485.75</v>
      </c>
      <c r="F42" s="49">
        <f>ROUND('Table 7 Local Revenue'!$AD$75*'Table 7 Local Revenue'!AH42,0)</f>
        <v>7823519</v>
      </c>
      <c r="G42" s="49">
        <f t="shared" si="7"/>
        <v>859.73</v>
      </c>
      <c r="H42" s="49">
        <f>'Table 7 Local Revenue'!AK42</f>
        <v>486790.5</v>
      </c>
      <c r="I42" s="49">
        <f t="shared" si="8"/>
        <v>53.49</v>
      </c>
      <c r="J42" s="49">
        <f t="shared" si="9"/>
        <v>12730675.5</v>
      </c>
      <c r="K42" s="49">
        <f t="shared" si="10"/>
        <v>1398.98</v>
      </c>
      <c r="L42" s="55">
        <f t="shared" si="11"/>
        <v>0.76162737</v>
      </c>
      <c r="M42" s="48">
        <f t="shared" si="12"/>
        <v>32</v>
      </c>
      <c r="N42" s="49">
        <f>+'Table 7 Local Revenue'!AC42+'Table 7 Local Revenue'!AG42+'Table 7 Local Revenue'!AK42</f>
        <v>12166608.5</v>
      </c>
      <c r="O42" s="49">
        <f t="shared" si="13"/>
        <v>1336.99</v>
      </c>
      <c r="P42" s="50">
        <f t="shared" si="14"/>
        <v>0.955689</v>
      </c>
      <c r="Q42" s="48">
        <f t="shared" si="15"/>
        <v>40</v>
      </c>
      <c r="U42" s="47">
        <v>61</v>
      </c>
      <c r="V42" s="48" t="s">
        <v>65</v>
      </c>
      <c r="W42" s="50">
        <v>0.978735</v>
      </c>
      <c r="X42" s="34">
        <f t="shared" si="5"/>
        <v>35</v>
      </c>
    </row>
    <row r="43" spans="1:24" ht="12.75">
      <c r="A43" s="33">
        <v>36</v>
      </c>
      <c r="B43" s="34" t="s">
        <v>41</v>
      </c>
      <c r="C43" s="34">
        <f>'Table 3 Levels 1&amp;2'!U44</f>
        <v>94777</v>
      </c>
      <c r="D43" s="35">
        <f>ROUND('Table 7 Local Revenue'!$AB$75*'Table 7 Local Revenue'!F43/1000,0)</f>
        <v>72384896</v>
      </c>
      <c r="E43" s="35">
        <f t="shared" si="6"/>
        <v>763.74</v>
      </c>
      <c r="F43" s="35">
        <f>ROUND('Table 7 Local Revenue'!$AD$75*'Table 7 Local Revenue'!AH43,0)</f>
        <v>110327291</v>
      </c>
      <c r="G43" s="35">
        <f t="shared" si="7"/>
        <v>1164.07</v>
      </c>
      <c r="H43" s="35">
        <f>'Table 7 Local Revenue'!AK43</f>
        <v>3358797</v>
      </c>
      <c r="I43" s="35">
        <f t="shared" si="8"/>
        <v>35.44</v>
      </c>
      <c r="J43" s="35">
        <f t="shared" si="9"/>
        <v>186070984</v>
      </c>
      <c r="K43" s="35">
        <f t="shared" si="10"/>
        <v>1963.25</v>
      </c>
      <c r="L43" s="44">
        <f t="shared" si="11"/>
        <v>1.0688251</v>
      </c>
      <c r="M43" s="34">
        <f t="shared" si="12"/>
        <v>16</v>
      </c>
      <c r="N43" s="35">
        <f>+'Table 7 Local Revenue'!AC43+'Table 7 Local Revenue'!AG43+'Table 7 Local Revenue'!AK43</f>
        <v>179970607</v>
      </c>
      <c r="O43" s="35">
        <f t="shared" si="13"/>
        <v>1898.88</v>
      </c>
      <c r="P43" s="37">
        <f t="shared" si="14"/>
        <v>0.967213</v>
      </c>
      <c r="Q43" s="34">
        <f t="shared" si="15"/>
        <v>38</v>
      </c>
      <c r="U43" s="33">
        <v>31</v>
      </c>
      <c r="V43" s="34" t="s">
        <v>36</v>
      </c>
      <c r="W43" s="37">
        <v>0.975908</v>
      </c>
      <c r="X43" s="34">
        <f t="shared" si="5"/>
        <v>36</v>
      </c>
    </row>
    <row r="44" spans="1:26" ht="12.75">
      <c r="A44" s="33">
        <v>37</v>
      </c>
      <c r="B44" s="34" t="s">
        <v>42</v>
      </c>
      <c r="C44" s="34">
        <f>'Table 3 Levels 1&amp;2'!U45</f>
        <v>22937</v>
      </c>
      <c r="D44" s="35">
        <f>ROUND('Table 7 Local Revenue'!$AB$75*'Table 7 Local Revenue'!F44/1000,0)</f>
        <v>11306286</v>
      </c>
      <c r="E44" s="35">
        <f t="shared" si="6"/>
        <v>492.93</v>
      </c>
      <c r="F44" s="35">
        <f>ROUND('Table 7 Local Revenue'!$AD$75*'Table 7 Local Revenue'!AH44,0)</f>
        <v>17257830</v>
      </c>
      <c r="G44" s="35">
        <f t="shared" si="7"/>
        <v>752.4</v>
      </c>
      <c r="H44" s="35">
        <f>'Table 7 Local Revenue'!AK44</f>
        <v>776833</v>
      </c>
      <c r="I44" s="35">
        <f t="shared" si="8"/>
        <v>33.87</v>
      </c>
      <c r="J44" s="35">
        <f t="shared" si="9"/>
        <v>29340949</v>
      </c>
      <c r="K44" s="35">
        <f t="shared" si="10"/>
        <v>1279.2</v>
      </c>
      <c r="L44" s="44">
        <f t="shared" si="11"/>
        <v>0.6964172</v>
      </c>
      <c r="M44" s="34">
        <f t="shared" si="12"/>
        <v>35</v>
      </c>
      <c r="N44" s="35">
        <f>+'Table 7 Local Revenue'!AC44+'Table 7 Local Revenue'!AG44+'Table 7 Local Revenue'!AK44</f>
        <v>42755583</v>
      </c>
      <c r="O44" s="35">
        <f t="shared" si="13"/>
        <v>1864.04</v>
      </c>
      <c r="P44" s="37">
        <f t="shared" si="14"/>
        <v>1.457192</v>
      </c>
      <c r="Q44" s="34">
        <f t="shared" si="15"/>
        <v>2</v>
      </c>
      <c r="U44" s="33">
        <v>35</v>
      </c>
      <c r="V44" s="48" t="s">
        <v>40</v>
      </c>
      <c r="W44" s="50">
        <v>0.973032</v>
      </c>
      <c r="X44" s="48">
        <f t="shared" si="5"/>
        <v>37</v>
      </c>
      <c r="Y44" s="200" t="s">
        <v>584</v>
      </c>
      <c r="Z44" s="445">
        <f>AVERAGE(W8:W73)</f>
        <v>0.9578071212121212</v>
      </c>
    </row>
    <row r="45" spans="1:24" ht="12.75">
      <c r="A45" s="33">
        <v>38</v>
      </c>
      <c r="B45" s="34" t="s">
        <v>43</v>
      </c>
      <c r="C45" s="34">
        <f>'Table 3 Levels 1&amp;2'!U46</f>
        <v>6575</v>
      </c>
      <c r="D45" s="35">
        <f>ROUND('Table 7 Local Revenue'!$AB$75*'Table 7 Local Revenue'!F45/1000,0)</f>
        <v>18778940</v>
      </c>
      <c r="E45" s="35">
        <f t="shared" si="6"/>
        <v>2856.11</v>
      </c>
      <c r="F45" s="35">
        <f>ROUND('Table 7 Local Revenue'!$AD$75*'Table 7 Local Revenue'!AH45,0)</f>
        <v>10334125</v>
      </c>
      <c r="G45" s="35">
        <f t="shared" si="7"/>
        <v>1571.73</v>
      </c>
      <c r="H45" s="35">
        <f>'Table 7 Local Revenue'!AK45</f>
        <v>149852</v>
      </c>
      <c r="I45" s="35">
        <f t="shared" si="8"/>
        <v>22.79</v>
      </c>
      <c r="J45" s="35">
        <f t="shared" si="9"/>
        <v>29262917</v>
      </c>
      <c r="K45" s="35">
        <f t="shared" si="10"/>
        <v>4450.63</v>
      </c>
      <c r="L45" s="44">
        <f t="shared" si="11"/>
        <v>2.42299505</v>
      </c>
      <c r="M45" s="34">
        <f t="shared" si="12"/>
        <v>2</v>
      </c>
      <c r="N45" s="35">
        <f>+'Table 7 Local Revenue'!AC45+'Table 7 Local Revenue'!AG45+'Table 7 Local Revenue'!AK45</f>
        <v>18510009</v>
      </c>
      <c r="O45" s="35">
        <f t="shared" si="13"/>
        <v>2815.21</v>
      </c>
      <c r="P45" s="37">
        <f t="shared" si="14"/>
        <v>0.632542</v>
      </c>
      <c r="Q45" s="34">
        <f t="shared" si="15"/>
        <v>63</v>
      </c>
      <c r="U45" s="33">
        <v>44</v>
      </c>
      <c r="V45" s="34" t="s">
        <v>49</v>
      </c>
      <c r="W45" s="37">
        <v>0.952968</v>
      </c>
      <c r="X45" s="34">
        <f t="shared" si="5"/>
        <v>38</v>
      </c>
    </row>
    <row r="46" spans="1:24" ht="12.75">
      <c r="A46" s="33">
        <v>39</v>
      </c>
      <c r="B46" s="34" t="s">
        <v>44</v>
      </c>
      <c r="C46" s="34">
        <f>'Table 3 Levels 1&amp;2'!U47</f>
        <v>5005</v>
      </c>
      <c r="D46" s="35">
        <f>ROUND('Table 7 Local Revenue'!$AB$75*'Table 7 Local Revenue'!F46/1000,0)</f>
        <v>8043664</v>
      </c>
      <c r="E46" s="35">
        <f t="shared" si="6"/>
        <v>1607.13</v>
      </c>
      <c r="F46" s="35">
        <f>ROUND('Table 7 Local Revenue'!$AD$75*'Table 7 Local Revenue'!AH46,0)</f>
        <v>4760587</v>
      </c>
      <c r="G46" s="35">
        <f t="shared" si="7"/>
        <v>951.17</v>
      </c>
      <c r="H46" s="35">
        <f>'Table 7 Local Revenue'!AK46</f>
        <v>161239</v>
      </c>
      <c r="I46" s="35">
        <f t="shared" si="8"/>
        <v>32.22</v>
      </c>
      <c r="J46" s="35">
        <f t="shared" si="9"/>
        <v>12965490</v>
      </c>
      <c r="K46" s="35">
        <f t="shared" si="10"/>
        <v>2590.51</v>
      </c>
      <c r="L46" s="44">
        <f t="shared" si="11"/>
        <v>1.4103156</v>
      </c>
      <c r="M46" s="34">
        <f t="shared" si="12"/>
        <v>9</v>
      </c>
      <c r="N46" s="35">
        <f>+'Table 7 Local Revenue'!AC46+'Table 7 Local Revenue'!AG46+'Table 7 Local Revenue'!AK46</f>
        <v>9237078</v>
      </c>
      <c r="O46" s="35">
        <f t="shared" si="13"/>
        <v>1845.57</v>
      </c>
      <c r="P46" s="37">
        <f t="shared" si="14"/>
        <v>0.712435</v>
      </c>
      <c r="Q46" s="34">
        <f t="shared" si="15"/>
        <v>57</v>
      </c>
      <c r="U46" s="33">
        <v>24</v>
      </c>
      <c r="V46" s="34" t="s">
        <v>29</v>
      </c>
      <c r="W46" s="37">
        <v>0.937574</v>
      </c>
      <c r="X46" s="34">
        <f t="shared" si="5"/>
        <v>39</v>
      </c>
    </row>
    <row r="47" spans="1:24" ht="12.75">
      <c r="A47" s="47">
        <v>40</v>
      </c>
      <c r="B47" s="48" t="s">
        <v>45</v>
      </c>
      <c r="C47" s="48">
        <f>'Table 3 Levels 1&amp;2'!U48</f>
        <v>30308</v>
      </c>
      <c r="D47" s="49">
        <f>ROUND('Table 7 Local Revenue'!$AB$75*'Table 7 Local Revenue'!F47/1000,0)</f>
        <v>16365292</v>
      </c>
      <c r="E47" s="49">
        <f t="shared" si="6"/>
        <v>539.97</v>
      </c>
      <c r="F47" s="49">
        <f>ROUND('Table 7 Local Revenue'!$AD$75*'Table 7 Local Revenue'!AH47,0)</f>
        <v>33670942</v>
      </c>
      <c r="G47" s="49">
        <f t="shared" si="7"/>
        <v>1110.96</v>
      </c>
      <c r="H47" s="49">
        <f>'Table 7 Local Revenue'!AK47</f>
        <v>1110582</v>
      </c>
      <c r="I47" s="49">
        <f t="shared" si="8"/>
        <v>36.64</v>
      </c>
      <c r="J47" s="49">
        <f t="shared" si="9"/>
        <v>51146816</v>
      </c>
      <c r="K47" s="49">
        <f t="shared" si="10"/>
        <v>1687.57</v>
      </c>
      <c r="L47" s="55">
        <f t="shared" si="11"/>
        <v>0.91874044</v>
      </c>
      <c r="M47" s="48">
        <f t="shared" si="12"/>
        <v>22</v>
      </c>
      <c r="N47" s="49">
        <f>+'Table 7 Local Revenue'!AC47+'Table 7 Local Revenue'!AG47+'Table 7 Local Revenue'!AK47</f>
        <v>54102897</v>
      </c>
      <c r="O47" s="49">
        <f t="shared" si="13"/>
        <v>1785.1</v>
      </c>
      <c r="P47" s="50">
        <f t="shared" si="14"/>
        <v>1.057793</v>
      </c>
      <c r="Q47" s="48">
        <f t="shared" si="15"/>
        <v>24</v>
      </c>
      <c r="U47" s="47">
        <v>53</v>
      </c>
      <c r="V47" s="48" t="s">
        <v>57</v>
      </c>
      <c r="W47" s="50">
        <v>0.930693</v>
      </c>
      <c r="X47" s="34">
        <f t="shared" si="5"/>
        <v>40</v>
      </c>
    </row>
    <row r="48" spans="1:24" ht="12.75">
      <c r="A48" s="33">
        <v>41</v>
      </c>
      <c r="B48" s="34" t="s">
        <v>46</v>
      </c>
      <c r="C48" s="34">
        <f>'Table 3 Levels 1&amp;2'!U49</f>
        <v>2560</v>
      </c>
      <c r="D48" s="35">
        <f>ROUND('Table 7 Local Revenue'!$AB$75*'Table 7 Local Revenue'!F48/1000,0)</f>
        <v>1073305</v>
      </c>
      <c r="E48" s="35">
        <f t="shared" si="6"/>
        <v>419.26</v>
      </c>
      <c r="F48" s="35">
        <f>ROUND('Table 7 Local Revenue'!$AD$75*'Table 7 Local Revenue'!AH48,0)</f>
        <v>1051677</v>
      </c>
      <c r="G48" s="35">
        <f t="shared" si="7"/>
        <v>410.81</v>
      </c>
      <c r="H48" s="35">
        <f>'Table 7 Local Revenue'!AK48</f>
        <v>48521.5</v>
      </c>
      <c r="I48" s="35">
        <f t="shared" si="8"/>
        <v>18.95</v>
      </c>
      <c r="J48" s="35">
        <f t="shared" si="9"/>
        <v>2173503.5</v>
      </c>
      <c r="K48" s="35">
        <f t="shared" si="10"/>
        <v>849.02</v>
      </c>
      <c r="L48" s="44">
        <f t="shared" si="11"/>
        <v>0.46222024</v>
      </c>
      <c r="M48" s="34">
        <f t="shared" si="12"/>
        <v>61</v>
      </c>
      <c r="N48" s="35">
        <f>+'Table 7 Local Revenue'!AC48+'Table 7 Local Revenue'!AG48+'Table 7 Local Revenue'!AK48</f>
        <v>3391785.5</v>
      </c>
      <c r="O48" s="35">
        <f t="shared" si="13"/>
        <v>1324.92</v>
      </c>
      <c r="P48" s="37">
        <f t="shared" si="14"/>
        <v>1.560529</v>
      </c>
      <c r="Q48" s="34">
        <f t="shared" si="15"/>
        <v>1</v>
      </c>
      <c r="U48" s="33">
        <v>55</v>
      </c>
      <c r="V48" s="34" t="s">
        <v>59</v>
      </c>
      <c r="W48" s="37">
        <v>0.922519</v>
      </c>
      <c r="X48" s="34">
        <f t="shared" si="5"/>
        <v>41</v>
      </c>
    </row>
    <row r="49" spans="1:24" ht="12.75">
      <c r="A49" s="33">
        <v>42</v>
      </c>
      <c r="B49" s="34" t="s">
        <v>47</v>
      </c>
      <c r="C49" s="34">
        <f>'Table 3 Levels 1&amp;2'!U50</f>
        <v>5269</v>
      </c>
      <c r="D49" s="35">
        <f>ROUND('Table 7 Local Revenue'!$AB$75*'Table 7 Local Revenue'!F49/1000,0)</f>
        <v>2198847</v>
      </c>
      <c r="E49" s="35">
        <f t="shared" si="6"/>
        <v>417.32</v>
      </c>
      <c r="F49" s="35">
        <f>ROUND('Table 7 Local Revenue'!$AD$75*'Table 7 Local Revenue'!AH49,0)</f>
        <v>2840640</v>
      </c>
      <c r="G49" s="35">
        <f t="shared" si="7"/>
        <v>539.12</v>
      </c>
      <c r="H49" s="35">
        <f>'Table 7 Local Revenue'!AK49</f>
        <v>246118.5</v>
      </c>
      <c r="I49" s="35">
        <f t="shared" si="8"/>
        <v>46.71</v>
      </c>
      <c r="J49" s="35">
        <f t="shared" si="9"/>
        <v>5285605.5</v>
      </c>
      <c r="K49" s="35">
        <f t="shared" si="10"/>
        <v>1003.15</v>
      </c>
      <c r="L49" s="44">
        <f t="shared" si="11"/>
        <v>0.54613111</v>
      </c>
      <c r="M49" s="34">
        <f t="shared" si="12"/>
        <v>50</v>
      </c>
      <c r="N49" s="35">
        <f>+'Table 7 Local Revenue'!AC49+'Table 7 Local Revenue'!AG49+'Table 7 Local Revenue'!AK49</f>
        <v>5234511.5</v>
      </c>
      <c r="O49" s="35">
        <f t="shared" si="13"/>
        <v>993.45</v>
      </c>
      <c r="P49" s="37">
        <f t="shared" si="14"/>
        <v>0.99033</v>
      </c>
      <c r="Q49" s="34">
        <f t="shared" si="15"/>
        <v>33</v>
      </c>
      <c r="U49" s="33">
        <v>22</v>
      </c>
      <c r="V49" s="34" t="s">
        <v>27</v>
      </c>
      <c r="W49" s="37">
        <v>0.900435</v>
      </c>
      <c r="X49" s="34">
        <f t="shared" si="5"/>
        <v>42</v>
      </c>
    </row>
    <row r="50" spans="1:24" ht="12.75">
      <c r="A50" s="33">
        <v>43</v>
      </c>
      <c r="B50" s="34" t="s">
        <v>48</v>
      </c>
      <c r="C50" s="34">
        <f>'Table 3 Levels 1&amp;2'!U51</f>
        <v>6084</v>
      </c>
      <c r="D50" s="35">
        <f>ROUND('Table 7 Local Revenue'!$AB$75*'Table 7 Local Revenue'!F50/1000,0)</f>
        <v>2755036</v>
      </c>
      <c r="E50" s="35">
        <f t="shared" si="6"/>
        <v>452.83</v>
      </c>
      <c r="F50" s="35">
        <f>ROUND('Table 7 Local Revenue'!$AD$75*'Table 7 Local Revenue'!AH50,0)</f>
        <v>3638269</v>
      </c>
      <c r="G50" s="35">
        <f t="shared" si="7"/>
        <v>598.01</v>
      </c>
      <c r="H50" s="35">
        <f>'Table 7 Local Revenue'!AK50</f>
        <v>161290</v>
      </c>
      <c r="I50" s="35">
        <f t="shared" si="8"/>
        <v>26.51</v>
      </c>
      <c r="J50" s="35">
        <f t="shared" si="9"/>
        <v>6554595</v>
      </c>
      <c r="K50" s="35">
        <f t="shared" si="10"/>
        <v>1077.35</v>
      </c>
      <c r="L50" s="44">
        <f t="shared" si="11"/>
        <v>0.58652679</v>
      </c>
      <c r="M50" s="34">
        <f t="shared" si="12"/>
        <v>47</v>
      </c>
      <c r="N50" s="35">
        <f>+'Table 7 Local Revenue'!AC50+'Table 7 Local Revenue'!AG50+'Table 7 Local Revenue'!AK50</f>
        <v>6407512</v>
      </c>
      <c r="O50" s="35">
        <f t="shared" si="13"/>
        <v>1053.17</v>
      </c>
      <c r="P50" s="37">
        <f t="shared" si="14"/>
        <v>0.977556</v>
      </c>
      <c r="Q50" s="34">
        <f t="shared" si="15"/>
        <v>35</v>
      </c>
      <c r="U50" s="33">
        <v>14</v>
      </c>
      <c r="V50" s="34" t="s">
        <v>19</v>
      </c>
      <c r="W50" s="37">
        <v>0.896409</v>
      </c>
      <c r="X50" s="34">
        <f t="shared" si="5"/>
        <v>43</v>
      </c>
    </row>
    <row r="51" spans="1:24" ht="12.75">
      <c r="A51" s="33">
        <v>44</v>
      </c>
      <c r="B51" s="34" t="s">
        <v>49</v>
      </c>
      <c r="C51" s="34">
        <f>'Table 3 Levels 1&amp;2'!U52</f>
        <v>11429</v>
      </c>
      <c r="D51" s="35">
        <f>ROUND('Table 7 Local Revenue'!$AB$75*'Table 7 Local Revenue'!F51/1000,0)</f>
        <v>8225284</v>
      </c>
      <c r="E51" s="35">
        <f t="shared" si="6"/>
        <v>719.69</v>
      </c>
      <c r="F51" s="35">
        <f>ROUND('Table 7 Local Revenue'!$AD$75*'Table 7 Local Revenue'!AH51,0)</f>
        <v>12045250</v>
      </c>
      <c r="G51" s="35">
        <f t="shared" si="7"/>
        <v>1053.92</v>
      </c>
      <c r="H51" s="35">
        <f>'Table 7 Local Revenue'!AK51</f>
        <v>357711</v>
      </c>
      <c r="I51" s="35">
        <f t="shared" si="8"/>
        <v>31.3</v>
      </c>
      <c r="J51" s="35">
        <f t="shared" si="9"/>
        <v>20628245</v>
      </c>
      <c r="K51" s="35">
        <f t="shared" si="10"/>
        <v>1804.9</v>
      </c>
      <c r="L51" s="44">
        <f t="shared" si="11"/>
        <v>0.98261679</v>
      </c>
      <c r="M51" s="34">
        <f t="shared" si="12"/>
        <v>18</v>
      </c>
      <c r="N51" s="35">
        <f>+'Table 7 Local Revenue'!AC51+'Table 7 Local Revenue'!AG51+'Table 7 Local Revenue'!AK51</f>
        <v>23178497</v>
      </c>
      <c r="O51" s="35">
        <f t="shared" si="13"/>
        <v>2028.04</v>
      </c>
      <c r="P51" s="37">
        <f t="shared" si="14"/>
        <v>1.12363</v>
      </c>
      <c r="Q51" s="34">
        <f t="shared" si="15"/>
        <v>17</v>
      </c>
      <c r="U51" s="33">
        <v>49</v>
      </c>
      <c r="V51" s="34" t="s">
        <v>53</v>
      </c>
      <c r="W51" s="37">
        <v>0.885883</v>
      </c>
      <c r="X51" s="34">
        <f t="shared" si="5"/>
        <v>44</v>
      </c>
    </row>
    <row r="52" spans="1:24" ht="12.75">
      <c r="A52" s="47">
        <v>45</v>
      </c>
      <c r="B52" s="48" t="s">
        <v>50</v>
      </c>
      <c r="C52" s="48">
        <f>'Table 3 Levels 1&amp;2'!U53</f>
        <v>12551</v>
      </c>
      <c r="D52" s="49">
        <f>ROUND('Table 7 Local Revenue'!$AB$75*'Table 7 Local Revenue'!F52/1000,0)</f>
        <v>25977360</v>
      </c>
      <c r="E52" s="49">
        <f t="shared" si="6"/>
        <v>2069.74</v>
      </c>
      <c r="F52" s="49">
        <f>ROUND('Table 7 Local Revenue'!$AD$75*'Table 7 Local Revenue'!AH52,0)</f>
        <v>16597802</v>
      </c>
      <c r="G52" s="49">
        <f t="shared" si="7"/>
        <v>1322.43</v>
      </c>
      <c r="H52" s="49">
        <f>'Table 7 Local Revenue'!AK52</f>
        <v>287028</v>
      </c>
      <c r="I52" s="49">
        <f t="shared" si="8"/>
        <v>22.87</v>
      </c>
      <c r="J52" s="49">
        <f t="shared" si="9"/>
        <v>42862190</v>
      </c>
      <c r="K52" s="49">
        <f t="shared" si="10"/>
        <v>3415.04</v>
      </c>
      <c r="L52" s="55">
        <f t="shared" si="11"/>
        <v>1.85920308</v>
      </c>
      <c r="M52" s="48">
        <f t="shared" si="12"/>
        <v>3</v>
      </c>
      <c r="N52" s="49">
        <f>+'Table 7 Local Revenue'!AC52+'Table 7 Local Revenue'!AG52+'Table 7 Local Revenue'!AK52</f>
        <v>52701846</v>
      </c>
      <c r="O52" s="49">
        <f t="shared" si="13"/>
        <v>4199.02</v>
      </c>
      <c r="P52" s="50">
        <f t="shared" si="14"/>
        <v>1.229567</v>
      </c>
      <c r="Q52" s="48">
        <f t="shared" si="15"/>
        <v>9</v>
      </c>
      <c r="U52" s="47">
        <v>18</v>
      </c>
      <c r="V52" s="48" t="s">
        <v>23</v>
      </c>
      <c r="W52" s="50">
        <v>0.877672</v>
      </c>
      <c r="X52" s="34">
        <f t="shared" si="5"/>
        <v>45</v>
      </c>
    </row>
    <row r="53" spans="1:24" ht="12.75">
      <c r="A53" s="33">
        <v>46</v>
      </c>
      <c r="B53" s="34" t="s">
        <v>51</v>
      </c>
      <c r="C53" s="34">
        <f>'Table 3 Levels 1&amp;2'!U54</f>
        <v>2173</v>
      </c>
      <c r="D53" s="35">
        <f>ROUND('Table 7 Local Revenue'!$AB$75*'Table 7 Local Revenue'!F53/1000,0)</f>
        <v>1213279</v>
      </c>
      <c r="E53" s="35">
        <f t="shared" si="6"/>
        <v>558.34</v>
      </c>
      <c r="F53" s="35">
        <f>ROUND('Table 7 Local Revenue'!$AD$75*'Table 7 Local Revenue'!AH53,0)</f>
        <v>852331</v>
      </c>
      <c r="G53" s="35">
        <f t="shared" si="7"/>
        <v>392.24</v>
      </c>
      <c r="H53" s="35">
        <f>'Table 7 Local Revenue'!AK53</f>
        <v>31084</v>
      </c>
      <c r="I53" s="35">
        <f t="shared" si="8"/>
        <v>14.3</v>
      </c>
      <c r="J53" s="35">
        <f t="shared" si="9"/>
        <v>2096694</v>
      </c>
      <c r="K53" s="35">
        <f t="shared" si="10"/>
        <v>964.88</v>
      </c>
      <c r="L53" s="44">
        <f t="shared" si="11"/>
        <v>0.5252963</v>
      </c>
      <c r="M53" s="34">
        <f t="shared" si="12"/>
        <v>54</v>
      </c>
      <c r="N53" s="35">
        <f>+'Table 7 Local Revenue'!AC53+'Table 7 Local Revenue'!AG53+'Table 7 Local Revenue'!AK53</f>
        <v>1463869</v>
      </c>
      <c r="O53" s="35">
        <f t="shared" si="13"/>
        <v>673.66</v>
      </c>
      <c r="P53" s="37">
        <f t="shared" si="14"/>
        <v>0.69818</v>
      </c>
      <c r="Q53" s="34">
        <f t="shared" si="15"/>
        <v>58</v>
      </c>
      <c r="U53" s="33">
        <v>26</v>
      </c>
      <c r="V53" s="34" t="s">
        <v>31</v>
      </c>
      <c r="W53" s="37">
        <v>0.843099</v>
      </c>
      <c r="X53" s="34">
        <f t="shared" si="5"/>
        <v>46</v>
      </c>
    </row>
    <row r="54" spans="1:24" ht="12.75">
      <c r="A54" s="33">
        <v>47</v>
      </c>
      <c r="B54" s="34" t="s">
        <v>52</v>
      </c>
      <c r="C54" s="34">
        <f>'Table 3 Levels 1&amp;2'!U55</f>
        <v>5532</v>
      </c>
      <c r="D54" s="35">
        <f>ROUND('Table 7 Local Revenue'!$AB$75*'Table 7 Local Revenue'!F54/1000,0)</f>
        <v>9102603</v>
      </c>
      <c r="E54" s="35">
        <f t="shared" si="6"/>
        <v>1645.45</v>
      </c>
      <c r="F54" s="35">
        <f>ROUND('Table 7 Local Revenue'!$AD$75*'Table 7 Local Revenue'!AH54,0)</f>
        <v>7958755</v>
      </c>
      <c r="G54" s="35">
        <f t="shared" si="7"/>
        <v>1438.68</v>
      </c>
      <c r="H54" s="35">
        <f>'Table 7 Local Revenue'!AK54</f>
        <v>90522</v>
      </c>
      <c r="I54" s="35">
        <f t="shared" si="8"/>
        <v>16.36</v>
      </c>
      <c r="J54" s="35">
        <f t="shared" si="9"/>
        <v>17151880</v>
      </c>
      <c r="K54" s="35">
        <f t="shared" si="10"/>
        <v>3100.48</v>
      </c>
      <c r="L54" s="44">
        <f t="shared" si="11"/>
        <v>1.68795153</v>
      </c>
      <c r="M54" s="34">
        <f t="shared" si="12"/>
        <v>4</v>
      </c>
      <c r="N54" s="35">
        <f>+'Table 7 Local Revenue'!AC54+'Table 7 Local Revenue'!AG54+'Table 7 Local Revenue'!AK54</f>
        <v>17575042</v>
      </c>
      <c r="O54" s="35">
        <f t="shared" si="13"/>
        <v>3176.98</v>
      </c>
      <c r="P54" s="37">
        <f t="shared" si="14"/>
        <v>1.024674</v>
      </c>
      <c r="Q54" s="34">
        <f t="shared" si="15"/>
        <v>28</v>
      </c>
      <c r="U54" s="33">
        <v>28</v>
      </c>
      <c r="V54" s="34" t="s">
        <v>33</v>
      </c>
      <c r="W54" s="37">
        <v>0.832628</v>
      </c>
      <c r="X54" s="34">
        <f t="shared" si="5"/>
        <v>47</v>
      </c>
    </row>
    <row r="55" spans="1:24" ht="12.75">
      <c r="A55" s="33">
        <v>48</v>
      </c>
      <c r="B55" s="34" t="s">
        <v>568</v>
      </c>
      <c r="C55" s="34">
        <f>'Table 3 Levels 1&amp;2'!U56</f>
        <v>9228</v>
      </c>
      <c r="D55" s="35">
        <f>ROUND('Table 7 Local Revenue'!$AB$75*'Table 7 Local Revenue'!F55/1000,0)</f>
        <v>6571679</v>
      </c>
      <c r="E55" s="35">
        <f t="shared" si="6"/>
        <v>712.15</v>
      </c>
      <c r="F55" s="35">
        <f>ROUND('Table 7 Local Revenue'!$AD$75*'Table 7 Local Revenue'!AH55,0)</f>
        <v>10523382</v>
      </c>
      <c r="G55" s="35">
        <f t="shared" si="7"/>
        <v>1140.38</v>
      </c>
      <c r="H55" s="35">
        <f>'Table 7 Local Revenue'!AK55</f>
        <v>213370</v>
      </c>
      <c r="I55" s="35">
        <f t="shared" si="8"/>
        <v>23.12</v>
      </c>
      <c r="J55" s="35">
        <f t="shared" si="9"/>
        <v>17308431</v>
      </c>
      <c r="K55" s="35">
        <f t="shared" si="10"/>
        <v>1875.64</v>
      </c>
      <c r="L55" s="44">
        <f t="shared" si="11"/>
        <v>1.02112879</v>
      </c>
      <c r="M55" s="34">
        <f t="shared" si="12"/>
        <v>17</v>
      </c>
      <c r="N55" s="35">
        <f>+'Table 7 Local Revenue'!AC55+'Table 7 Local Revenue'!AG55+'Table 7 Local Revenue'!AK55</f>
        <v>19594703</v>
      </c>
      <c r="O55" s="35">
        <f t="shared" si="13"/>
        <v>2123.4</v>
      </c>
      <c r="P55" s="37">
        <f t="shared" si="14"/>
        <v>1.132094</v>
      </c>
      <c r="Q55" s="34">
        <f t="shared" si="15"/>
        <v>15</v>
      </c>
      <c r="U55" s="33">
        <v>65</v>
      </c>
      <c r="V55" s="34" t="s">
        <v>69</v>
      </c>
      <c r="W55" s="37">
        <v>0.789346</v>
      </c>
      <c r="X55" s="34">
        <f t="shared" si="5"/>
        <v>48</v>
      </c>
    </row>
    <row r="56" spans="1:24" ht="12.75">
      <c r="A56" s="33">
        <v>49</v>
      </c>
      <c r="B56" s="34" t="s">
        <v>53</v>
      </c>
      <c r="C56" s="34">
        <f>'Table 3 Levels 1&amp;2'!U57</f>
        <v>21376</v>
      </c>
      <c r="D56" s="35">
        <f>ROUND('Table 7 Local Revenue'!$AB$75*'Table 7 Local Revenue'!F56/1000,0)</f>
        <v>10205871</v>
      </c>
      <c r="E56" s="35">
        <f t="shared" si="6"/>
        <v>477.45</v>
      </c>
      <c r="F56" s="35">
        <f>ROUND('Table 7 Local Revenue'!$AD$75*'Table 7 Local Revenue'!AH56,0)</f>
        <v>11694774</v>
      </c>
      <c r="G56" s="35">
        <f t="shared" si="7"/>
        <v>547.1</v>
      </c>
      <c r="H56" s="35">
        <f>'Table 7 Local Revenue'!AK56</f>
        <v>668487</v>
      </c>
      <c r="I56" s="35">
        <f t="shared" si="8"/>
        <v>31.27</v>
      </c>
      <c r="J56" s="35">
        <f t="shared" si="9"/>
        <v>22569132</v>
      </c>
      <c r="K56" s="35">
        <f t="shared" si="10"/>
        <v>1055.82</v>
      </c>
      <c r="L56" s="44">
        <f t="shared" si="11"/>
        <v>0.57480551</v>
      </c>
      <c r="M56" s="34">
        <f t="shared" si="12"/>
        <v>48</v>
      </c>
      <c r="N56" s="35">
        <f>+'Table 7 Local Revenue'!AC56+'Table 7 Local Revenue'!AG56+'Table 7 Local Revenue'!AK56</f>
        <v>20576663</v>
      </c>
      <c r="O56" s="35">
        <f t="shared" si="13"/>
        <v>962.61</v>
      </c>
      <c r="P56" s="37">
        <f t="shared" si="14"/>
        <v>0.911718</v>
      </c>
      <c r="Q56" s="34">
        <f t="shared" si="15"/>
        <v>44</v>
      </c>
      <c r="U56" s="33">
        <v>42</v>
      </c>
      <c r="V56" s="34" t="s">
        <v>47</v>
      </c>
      <c r="W56" s="37">
        <v>0.787289</v>
      </c>
      <c r="X56" s="34">
        <f t="shared" si="5"/>
        <v>49</v>
      </c>
    </row>
    <row r="57" spans="1:24" ht="12.75">
      <c r="A57" s="47">
        <v>50</v>
      </c>
      <c r="B57" s="48" t="s">
        <v>54</v>
      </c>
      <c r="C57" s="48">
        <f>'Table 3 Levels 1&amp;2'!U58</f>
        <v>11528</v>
      </c>
      <c r="D57" s="49">
        <f>ROUND('Table 7 Local Revenue'!$AB$75*'Table 7 Local Revenue'!F57/1000,0)</f>
        <v>4523168</v>
      </c>
      <c r="E57" s="49">
        <f t="shared" si="6"/>
        <v>392.36</v>
      </c>
      <c r="F57" s="49">
        <f>ROUND('Table 7 Local Revenue'!$AD$75*'Table 7 Local Revenue'!AH57,0)</f>
        <v>6441120</v>
      </c>
      <c r="G57" s="49">
        <f t="shared" si="7"/>
        <v>558.74</v>
      </c>
      <c r="H57" s="49">
        <f>'Table 7 Local Revenue'!AK57</f>
        <v>645634.5</v>
      </c>
      <c r="I57" s="49">
        <f t="shared" si="8"/>
        <v>56.01</v>
      </c>
      <c r="J57" s="49">
        <f t="shared" si="9"/>
        <v>11609922.5</v>
      </c>
      <c r="K57" s="49">
        <f t="shared" si="10"/>
        <v>1007.11</v>
      </c>
      <c r="L57" s="55">
        <f t="shared" si="11"/>
        <v>0.54828699</v>
      </c>
      <c r="M57" s="48">
        <f t="shared" si="12"/>
        <v>49</v>
      </c>
      <c r="N57" s="49">
        <f>+'Table 7 Local Revenue'!AC57+'Table 7 Local Revenue'!AG57+'Table 7 Local Revenue'!AK57</f>
        <v>11867801.5</v>
      </c>
      <c r="O57" s="49">
        <f t="shared" si="13"/>
        <v>1029.48</v>
      </c>
      <c r="P57" s="50">
        <f t="shared" si="14"/>
        <v>1.022212</v>
      </c>
      <c r="Q57" s="48">
        <f t="shared" si="15"/>
        <v>29</v>
      </c>
      <c r="U57" s="47">
        <v>34</v>
      </c>
      <c r="V57" s="48" t="s">
        <v>39</v>
      </c>
      <c r="W57" s="50">
        <v>0.775951</v>
      </c>
      <c r="X57" s="34">
        <f t="shared" si="5"/>
        <v>50</v>
      </c>
    </row>
    <row r="58" spans="1:24" ht="12.75">
      <c r="A58" s="33">
        <v>51</v>
      </c>
      <c r="B58" s="34" t="s">
        <v>55</v>
      </c>
      <c r="C58" s="34">
        <f>'Table 3 Levels 1&amp;2'!U59</f>
        <v>14098</v>
      </c>
      <c r="D58" s="35">
        <f>ROUND('Table 7 Local Revenue'!$AB$75*'Table 7 Local Revenue'!F58/1000,0)</f>
        <v>10080312</v>
      </c>
      <c r="E58" s="35">
        <f t="shared" si="6"/>
        <v>715.02</v>
      </c>
      <c r="F58" s="35">
        <f>ROUND('Table 7 Local Revenue'!$AD$75*'Table 7 Local Revenue'!AH58,0)</f>
        <v>11977202</v>
      </c>
      <c r="G58" s="35">
        <f t="shared" si="7"/>
        <v>849.57</v>
      </c>
      <c r="H58" s="35">
        <f>'Table 7 Local Revenue'!AK58</f>
        <v>576050.5</v>
      </c>
      <c r="I58" s="35">
        <f t="shared" si="8"/>
        <v>40.86</v>
      </c>
      <c r="J58" s="35">
        <f t="shared" si="9"/>
        <v>22633564.5</v>
      </c>
      <c r="K58" s="35">
        <f t="shared" si="10"/>
        <v>1605.45</v>
      </c>
      <c r="L58" s="44">
        <f t="shared" si="11"/>
        <v>0.87403298</v>
      </c>
      <c r="M58" s="34">
        <f t="shared" si="12"/>
        <v>26</v>
      </c>
      <c r="N58" s="35">
        <f>+'Table 7 Local Revenue'!AC58+'Table 7 Local Revenue'!AG58+'Table 7 Local Revenue'!AK58</f>
        <v>22060819.5</v>
      </c>
      <c r="O58" s="35">
        <f t="shared" si="13"/>
        <v>1564.82</v>
      </c>
      <c r="P58" s="37">
        <f t="shared" si="14"/>
        <v>0.974692</v>
      </c>
      <c r="Q58" s="34">
        <f t="shared" si="15"/>
        <v>36</v>
      </c>
      <c r="U58" s="33">
        <v>5</v>
      </c>
      <c r="V58" s="34" t="s">
        <v>10</v>
      </c>
      <c r="W58" s="37">
        <v>0.774756</v>
      </c>
      <c r="X58" s="34">
        <f t="shared" si="5"/>
        <v>51</v>
      </c>
    </row>
    <row r="59" spans="1:24" ht="12.75">
      <c r="A59" s="33">
        <v>52</v>
      </c>
      <c r="B59" s="34" t="s">
        <v>56</v>
      </c>
      <c r="C59" s="34">
        <f>'Table 3 Levels 1&amp;2'!U60</f>
        <v>44517</v>
      </c>
      <c r="D59" s="35">
        <f>ROUND('Table 7 Local Revenue'!$AB$75*'Table 7 Local Revenue'!F59/1000,0)</f>
        <v>21704356</v>
      </c>
      <c r="E59" s="35">
        <f t="shared" si="6"/>
        <v>487.55</v>
      </c>
      <c r="F59" s="35">
        <f>ROUND('Table 7 Local Revenue'!$AD$75*'Table 7 Local Revenue'!AH59,0)</f>
        <v>44403996</v>
      </c>
      <c r="G59" s="35">
        <f t="shared" si="7"/>
        <v>997.46</v>
      </c>
      <c r="H59" s="35">
        <f>'Table 7 Local Revenue'!AK59</f>
        <v>1802063</v>
      </c>
      <c r="I59" s="35">
        <f t="shared" si="8"/>
        <v>40.48</v>
      </c>
      <c r="J59" s="35">
        <f t="shared" si="9"/>
        <v>67910415</v>
      </c>
      <c r="K59" s="35">
        <f t="shared" si="10"/>
        <v>1525.49</v>
      </c>
      <c r="L59" s="44">
        <f t="shared" si="11"/>
        <v>0.83050146</v>
      </c>
      <c r="M59" s="34">
        <f t="shared" si="12"/>
        <v>27</v>
      </c>
      <c r="N59" s="35">
        <f>+'Table 7 Local Revenue'!AC59+'Table 7 Local Revenue'!AG59+'Table 7 Local Revenue'!AK59</f>
        <v>95226203</v>
      </c>
      <c r="O59" s="35">
        <f t="shared" si="13"/>
        <v>2139.1</v>
      </c>
      <c r="P59" s="37">
        <f t="shared" si="14"/>
        <v>1.402238</v>
      </c>
      <c r="Q59" s="34">
        <f t="shared" si="15"/>
        <v>3</v>
      </c>
      <c r="U59" s="33">
        <v>43</v>
      </c>
      <c r="V59" s="34" t="s">
        <v>48</v>
      </c>
      <c r="W59" s="37">
        <v>0.76856</v>
      </c>
      <c r="X59" s="34">
        <f t="shared" si="5"/>
        <v>52</v>
      </c>
    </row>
    <row r="60" spans="1:24" ht="12.75">
      <c r="A60" s="33">
        <v>53</v>
      </c>
      <c r="B60" s="34" t="s">
        <v>57</v>
      </c>
      <c r="C60" s="34">
        <f>'Table 3 Levels 1&amp;2'!U61</f>
        <v>24074</v>
      </c>
      <c r="D60" s="35">
        <f>ROUND('Table 7 Local Revenue'!$AB$75*'Table 7 Local Revenue'!F60/1000,0)</f>
        <v>8748533</v>
      </c>
      <c r="E60" s="35">
        <f t="shared" si="6"/>
        <v>363.4</v>
      </c>
      <c r="F60" s="35">
        <f>ROUND('Table 7 Local Revenue'!$AD$75*'Table 7 Local Revenue'!AH60,0)</f>
        <v>19502515</v>
      </c>
      <c r="G60" s="35">
        <f t="shared" si="7"/>
        <v>810.11</v>
      </c>
      <c r="H60" s="35">
        <f>'Table 7 Local Revenue'!AK60</f>
        <v>108021</v>
      </c>
      <c r="I60" s="35">
        <f t="shared" si="8"/>
        <v>4.49</v>
      </c>
      <c r="J60" s="35">
        <f t="shared" si="9"/>
        <v>28359069</v>
      </c>
      <c r="K60" s="35">
        <f t="shared" si="10"/>
        <v>1178</v>
      </c>
      <c r="L60" s="44">
        <f t="shared" si="11"/>
        <v>0.64132228</v>
      </c>
      <c r="M60" s="34">
        <f t="shared" si="12"/>
        <v>42</v>
      </c>
      <c r="N60" s="35">
        <f>+'Table 7 Local Revenue'!AC60+'Table 7 Local Revenue'!AG60+'Table 7 Local Revenue'!AK60</f>
        <v>25322485</v>
      </c>
      <c r="O60" s="35">
        <f t="shared" si="13"/>
        <v>1051.86</v>
      </c>
      <c r="P60" s="37">
        <f t="shared" si="14"/>
        <v>0.89292</v>
      </c>
      <c r="Q60" s="34">
        <f t="shared" si="15"/>
        <v>45</v>
      </c>
      <c r="U60" s="33">
        <v>57</v>
      </c>
      <c r="V60" s="34" t="s">
        <v>61</v>
      </c>
      <c r="W60" s="37">
        <v>0.766432</v>
      </c>
      <c r="X60" s="34">
        <f t="shared" si="5"/>
        <v>53</v>
      </c>
    </row>
    <row r="61" spans="1:24" ht="12.75">
      <c r="A61" s="33">
        <v>54</v>
      </c>
      <c r="B61" s="34" t="s">
        <v>58</v>
      </c>
      <c r="C61" s="34">
        <f>'Table 3 Levels 1&amp;2'!U62</f>
        <v>1652</v>
      </c>
      <c r="D61" s="35">
        <f>ROUND('Table 7 Local Revenue'!$AB$75*'Table 7 Local Revenue'!F61/1000,0)</f>
        <v>1561638</v>
      </c>
      <c r="E61" s="35">
        <f t="shared" si="6"/>
        <v>945.3</v>
      </c>
      <c r="F61" s="35">
        <f>ROUND('Table 7 Local Revenue'!$AD$75*'Table 7 Local Revenue'!AH61,0)</f>
        <v>691539</v>
      </c>
      <c r="G61" s="35">
        <f t="shared" si="7"/>
        <v>418.61</v>
      </c>
      <c r="H61" s="35">
        <f>'Table 7 Local Revenue'!AK61</f>
        <v>65332.5</v>
      </c>
      <c r="I61" s="35">
        <f t="shared" si="8"/>
        <v>39.55</v>
      </c>
      <c r="J61" s="35">
        <f t="shared" si="9"/>
        <v>2318509.5</v>
      </c>
      <c r="K61" s="35">
        <f t="shared" si="10"/>
        <v>1403.46</v>
      </c>
      <c r="L61" s="44">
        <f t="shared" si="11"/>
        <v>0.76406635</v>
      </c>
      <c r="M61" s="34">
        <f t="shared" si="12"/>
        <v>31</v>
      </c>
      <c r="N61" s="35">
        <f>+'Table 7 Local Revenue'!AC61+'Table 7 Local Revenue'!AG61+'Table 7 Local Revenue'!AK61</f>
        <v>1798679.5</v>
      </c>
      <c r="O61" s="35">
        <f t="shared" si="13"/>
        <v>1088.79</v>
      </c>
      <c r="P61" s="37">
        <f t="shared" si="14"/>
        <v>0.77579</v>
      </c>
      <c r="Q61" s="34">
        <f t="shared" si="15"/>
        <v>51</v>
      </c>
      <c r="U61" s="33">
        <v>15</v>
      </c>
      <c r="V61" s="34" t="s">
        <v>20</v>
      </c>
      <c r="W61" s="37">
        <v>0.760266</v>
      </c>
      <c r="X61" s="34">
        <f t="shared" si="5"/>
        <v>54</v>
      </c>
    </row>
    <row r="62" spans="1:24" ht="12.75">
      <c r="A62" s="47">
        <v>55</v>
      </c>
      <c r="B62" s="48" t="s">
        <v>59</v>
      </c>
      <c r="C62" s="48">
        <f>'Table 3 Levels 1&amp;2'!U63</f>
        <v>26645</v>
      </c>
      <c r="D62" s="49">
        <f>ROUND('Table 7 Local Revenue'!$AB$75*'Table 7 Local Revenue'!F62/1000,0)</f>
        <v>14759553</v>
      </c>
      <c r="E62" s="49">
        <f t="shared" si="6"/>
        <v>553.93</v>
      </c>
      <c r="F62" s="49">
        <f>ROUND('Table 7 Local Revenue'!$AD$75*'Table 7 Local Revenue'!AH62,0)</f>
        <v>28139689</v>
      </c>
      <c r="G62" s="49">
        <f t="shared" si="7"/>
        <v>1056.1</v>
      </c>
      <c r="H62" s="49">
        <f>'Table 7 Local Revenue'!AK62</f>
        <v>519363.5</v>
      </c>
      <c r="I62" s="49">
        <f t="shared" si="8"/>
        <v>19.49</v>
      </c>
      <c r="J62" s="49">
        <f t="shared" si="9"/>
        <v>43418605.5</v>
      </c>
      <c r="K62" s="49">
        <f t="shared" si="10"/>
        <v>1629.52</v>
      </c>
      <c r="L62" s="55">
        <f t="shared" si="11"/>
        <v>0.88713708</v>
      </c>
      <c r="M62" s="48">
        <f t="shared" si="12"/>
        <v>25</v>
      </c>
      <c r="N62" s="49">
        <f>+'Table 7 Local Revenue'!AC62+'Table 7 Local Revenue'!AG62+'Table 7 Local Revenue'!AK62</f>
        <v>38536562.5</v>
      </c>
      <c r="O62" s="49">
        <f t="shared" si="13"/>
        <v>1446.3</v>
      </c>
      <c r="P62" s="50">
        <f t="shared" si="14"/>
        <v>0.887562</v>
      </c>
      <c r="Q62" s="48">
        <f t="shared" si="15"/>
        <v>46</v>
      </c>
      <c r="U62" s="47">
        <v>66</v>
      </c>
      <c r="V62" s="48" t="s">
        <v>70</v>
      </c>
      <c r="W62" s="50">
        <v>0.757939</v>
      </c>
      <c r="X62" s="34">
        <f t="shared" si="5"/>
        <v>55</v>
      </c>
    </row>
    <row r="63" spans="1:24" ht="12.75">
      <c r="A63" s="33">
        <v>56</v>
      </c>
      <c r="B63" s="34" t="s">
        <v>60</v>
      </c>
      <c r="C63" s="34">
        <f>'Table 3 Levels 1&amp;2'!U64</f>
        <v>4968</v>
      </c>
      <c r="D63" s="35">
        <f>ROUND('Table 7 Local Revenue'!$AB$75*'Table 7 Local Revenue'!F63/1000,0)</f>
        <v>2567814</v>
      </c>
      <c r="E63" s="35">
        <f t="shared" si="6"/>
        <v>516.87</v>
      </c>
      <c r="F63" s="35">
        <f>ROUND('Table 7 Local Revenue'!$AD$75*'Table 7 Local Revenue'!AH63,0)</f>
        <v>2945785</v>
      </c>
      <c r="G63" s="35">
        <f t="shared" si="7"/>
        <v>592.95</v>
      </c>
      <c r="H63" s="35">
        <f>'Table 7 Local Revenue'!AK63</f>
        <v>163760.5</v>
      </c>
      <c r="I63" s="35">
        <f t="shared" si="8"/>
        <v>32.96</v>
      </c>
      <c r="J63" s="35">
        <f t="shared" si="9"/>
        <v>5677359.5</v>
      </c>
      <c r="K63" s="35">
        <f t="shared" si="10"/>
        <v>1142.79</v>
      </c>
      <c r="L63" s="44">
        <f t="shared" si="11"/>
        <v>0.62215338</v>
      </c>
      <c r="M63" s="34">
        <f t="shared" si="12"/>
        <v>45</v>
      </c>
      <c r="N63" s="35">
        <f>+'Table 7 Local Revenue'!AC63+'Table 7 Local Revenue'!AG63+'Table 7 Local Revenue'!AK63</f>
        <v>3072250.5</v>
      </c>
      <c r="O63" s="35">
        <f t="shared" si="13"/>
        <v>618.41</v>
      </c>
      <c r="P63" s="37">
        <f t="shared" si="14"/>
        <v>0.541141</v>
      </c>
      <c r="Q63" s="34">
        <f t="shared" si="15"/>
        <v>65</v>
      </c>
      <c r="U63" s="33">
        <v>46</v>
      </c>
      <c r="V63" s="34" t="s">
        <v>51</v>
      </c>
      <c r="W63" s="37">
        <v>0.712979</v>
      </c>
      <c r="X63" s="34">
        <f t="shared" si="5"/>
        <v>56</v>
      </c>
    </row>
    <row r="64" spans="1:24" ht="12.75">
      <c r="A64" s="33">
        <v>57</v>
      </c>
      <c r="B64" s="34" t="s">
        <v>61</v>
      </c>
      <c r="C64" s="34">
        <f>'Table 3 Levels 1&amp;2'!U65</f>
        <v>11825</v>
      </c>
      <c r="D64" s="35">
        <f>ROUND('Table 7 Local Revenue'!$AB$75*'Table 7 Local Revenue'!F64/1000,0)</f>
        <v>7503328</v>
      </c>
      <c r="E64" s="35">
        <f t="shared" si="6"/>
        <v>634.53</v>
      </c>
      <c r="F64" s="35">
        <f>ROUND('Table 7 Local Revenue'!$AD$75*'Table 7 Local Revenue'!AH64,0)</f>
        <v>9870368</v>
      </c>
      <c r="G64" s="35">
        <f t="shared" si="7"/>
        <v>834.7</v>
      </c>
      <c r="H64" s="35">
        <f>'Table 7 Local Revenue'!AK64</f>
        <v>3218052.5</v>
      </c>
      <c r="I64" s="35">
        <f t="shared" si="8"/>
        <v>272.14</v>
      </c>
      <c r="J64" s="35">
        <f t="shared" si="9"/>
        <v>20591748.5</v>
      </c>
      <c r="K64" s="35">
        <f t="shared" si="10"/>
        <v>1741.37</v>
      </c>
      <c r="L64" s="44">
        <f t="shared" si="11"/>
        <v>0.94803003</v>
      </c>
      <c r="M64" s="34">
        <f t="shared" si="12"/>
        <v>20</v>
      </c>
      <c r="N64" s="35">
        <f>+'Table 7 Local Revenue'!AC64+'Table 7 Local Revenue'!AG64+'Table 7 Local Revenue'!AK64</f>
        <v>15869827.5</v>
      </c>
      <c r="O64" s="35">
        <f t="shared" si="13"/>
        <v>1342.06</v>
      </c>
      <c r="P64" s="37">
        <f t="shared" si="14"/>
        <v>0.770692</v>
      </c>
      <c r="Q64" s="34">
        <f t="shared" si="15"/>
        <v>53</v>
      </c>
      <c r="U64" s="33">
        <v>1</v>
      </c>
      <c r="V64" s="34" t="s">
        <v>6</v>
      </c>
      <c r="W64" s="442">
        <v>0.66746</v>
      </c>
      <c r="X64" s="34">
        <f t="shared" si="5"/>
        <v>57</v>
      </c>
    </row>
    <row r="65" spans="1:24" ht="12.75">
      <c r="A65" s="33">
        <v>58</v>
      </c>
      <c r="B65" s="34" t="s">
        <v>62</v>
      </c>
      <c r="C65" s="34">
        <f>'Table 3 Levels 1&amp;2'!U66</f>
        <v>12929</v>
      </c>
      <c r="D65" s="35">
        <f>ROUND('Table 7 Local Revenue'!$AB$75*'Table 7 Local Revenue'!F65/1000,0)</f>
        <v>3299295</v>
      </c>
      <c r="E65" s="35">
        <f t="shared" si="6"/>
        <v>255.19</v>
      </c>
      <c r="F65" s="35">
        <f>ROUND('Table 7 Local Revenue'!$AD$75*'Table 7 Local Revenue'!AH65,0)</f>
        <v>7241103</v>
      </c>
      <c r="G65" s="35">
        <f t="shared" si="7"/>
        <v>560.07</v>
      </c>
      <c r="H65" s="35">
        <f>'Table 7 Local Revenue'!AK65</f>
        <v>487184</v>
      </c>
      <c r="I65" s="35">
        <f t="shared" si="8"/>
        <v>37.68</v>
      </c>
      <c r="J65" s="35">
        <f t="shared" si="9"/>
        <v>11027582</v>
      </c>
      <c r="K65" s="35">
        <f t="shared" si="10"/>
        <v>852.93</v>
      </c>
      <c r="L65" s="44">
        <f t="shared" si="11"/>
        <v>0.46434891</v>
      </c>
      <c r="M65" s="34">
        <f t="shared" si="12"/>
        <v>60</v>
      </c>
      <c r="N65" s="35">
        <f>+'Table 7 Local Revenue'!AC65+'Table 7 Local Revenue'!AG65+'Table 7 Local Revenue'!AK65</f>
        <v>11666284</v>
      </c>
      <c r="O65" s="35">
        <f t="shared" si="13"/>
        <v>902.33</v>
      </c>
      <c r="P65" s="37">
        <f t="shared" si="14"/>
        <v>1.057918</v>
      </c>
      <c r="Q65" s="34">
        <f t="shared" si="15"/>
        <v>23</v>
      </c>
      <c r="U65" s="33">
        <v>63</v>
      </c>
      <c r="V65" s="34" t="s">
        <v>67</v>
      </c>
      <c r="W65" s="37">
        <v>0.666798</v>
      </c>
      <c r="X65" s="34">
        <f t="shared" si="5"/>
        <v>58</v>
      </c>
    </row>
    <row r="66" spans="1:24" ht="12.75">
      <c r="A66" s="33">
        <v>59</v>
      </c>
      <c r="B66" s="34" t="s">
        <v>63</v>
      </c>
      <c r="C66" s="34">
        <f>'Table 3 Levels 1&amp;2'!U67</f>
        <v>6777</v>
      </c>
      <c r="D66" s="35">
        <f>ROUND('Table 7 Local Revenue'!$AB$75*'Table 7 Local Revenue'!F66/1000,0)</f>
        <v>1952412</v>
      </c>
      <c r="E66" s="35">
        <f t="shared" si="6"/>
        <v>288.09</v>
      </c>
      <c r="F66" s="35">
        <f>ROUND('Table 7 Local Revenue'!$AD$75*'Table 7 Local Revenue'!AH66,0)</f>
        <v>2949107</v>
      </c>
      <c r="G66" s="35">
        <f t="shared" si="7"/>
        <v>435.16</v>
      </c>
      <c r="H66" s="35">
        <f>'Table 7 Local Revenue'!AK66</f>
        <v>146703</v>
      </c>
      <c r="I66" s="35">
        <f t="shared" si="8"/>
        <v>21.65</v>
      </c>
      <c r="J66" s="35">
        <f t="shared" si="9"/>
        <v>5048222</v>
      </c>
      <c r="K66" s="35">
        <f t="shared" si="10"/>
        <v>744.91</v>
      </c>
      <c r="L66" s="44">
        <f t="shared" si="11"/>
        <v>0.40554107</v>
      </c>
      <c r="M66" s="34">
        <f t="shared" si="12"/>
        <v>65</v>
      </c>
      <c r="N66" s="35">
        <f>+'Table 7 Local Revenue'!AC66+'Table 7 Local Revenue'!AG66+'Table 7 Local Revenue'!AK66</f>
        <v>4953016</v>
      </c>
      <c r="O66" s="35">
        <f t="shared" si="13"/>
        <v>730.86</v>
      </c>
      <c r="P66" s="37">
        <f t="shared" si="14"/>
        <v>0.981139</v>
      </c>
      <c r="Q66" s="34">
        <f t="shared" si="15"/>
        <v>34</v>
      </c>
      <c r="U66" s="33">
        <v>21</v>
      </c>
      <c r="V66" s="34" t="s">
        <v>26</v>
      </c>
      <c r="W66" s="37">
        <v>0.654571</v>
      </c>
      <c r="X66" s="34">
        <f t="shared" si="5"/>
        <v>59</v>
      </c>
    </row>
    <row r="67" spans="1:24" ht="12.75">
      <c r="A67" s="47">
        <v>60</v>
      </c>
      <c r="B67" s="48" t="s">
        <v>64</v>
      </c>
      <c r="C67" s="48">
        <f>'Table 3 Levels 1&amp;2'!U68</f>
        <v>9947</v>
      </c>
      <c r="D67" s="49">
        <f>ROUND('Table 7 Local Revenue'!$AB$75*'Table 7 Local Revenue'!F67/1000,0)</f>
        <v>4679144</v>
      </c>
      <c r="E67" s="49">
        <f t="shared" si="6"/>
        <v>470.41</v>
      </c>
      <c r="F67" s="49">
        <f>ROUND('Table 7 Local Revenue'!$AD$75*'Table 7 Local Revenue'!AH67,0)</f>
        <v>8792033</v>
      </c>
      <c r="G67" s="49">
        <f t="shared" si="7"/>
        <v>883.89</v>
      </c>
      <c r="H67" s="49">
        <f>'Table 7 Local Revenue'!AK67</f>
        <v>580382</v>
      </c>
      <c r="I67" s="49">
        <f t="shared" si="8"/>
        <v>58.35</v>
      </c>
      <c r="J67" s="49">
        <f t="shared" si="9"/>
        <v>14051559</v>
      </c>
      <c r="K67" s="49">
        <f t="shared" si="10"/>
        <v>1412.64</v>
      </c>
      <c r="L67" s="55">
        <f t="shared" si="11"/>
        <v>0.76906409</v>
      </c>
      <c r="M67" s="48">
        <f t="shared" si="12"/>
        <v>30</v>
      </c>
      <c r="N67" s="49">
        <f>+'Table 7 Local Revenue'!AC67+'Table 7 Local Revenue'!AG67+'Table 7 Local Revenue'!AK67</f>
        <v>14678241</v>
      </c>
      <c r="O67" s="49">
        <f t="shared" si="13"/>
        <v>1475.65</v>
      </c>
      <c r="P67" s="50">
        <f t="shared" si="14"/>
        <v>1.044604</v>
      </c>
      <c r="Q67" s="48">
        <f t="shared" si="15"/>
        <v>25</v>
      </c>
      <c r="U67" s="47">
        <v>20</v>
      </c>
      <c r="V67" s="48" t="s">
        <v>25</v>
      </c>
      <c r="W67" s="50">
        <v>0.653765</v>
      </c>
      <c r="X67" s="34">
        <f t="shared" si="5"/>
        <v>60</v>
      </c>
    </row>
    <row r="68" spans="1:24" ht="12.75">
      <c r="A68" s="33">
        <v>61</v>
      </c>
      <c r="B68" s="34" t="s">
        <v>65</v>
      </c>
      <c r="C68" s="34">
        <f>'Table 3 Levels 1&amp;2'!U69</f>
        <v>5226</v>
      </c>
      <c r="D68" s="35">
        <f>ROUND('Table 7 Local Revenue'!$AB$75*'Table 7 Local Revenue'!F68/1000,0)</f>
        <v>6816538</v>
      </c>
      <c r="E68" s="35">
        <f t="shared" si="6"/>
        <v>1304.35</v>
      </c>
      <c r="F68" s="35">
        <f>ROUND('Table 7 Local Revenue'!$AD$75*'Table 7 Local Revenue'!AH68,0)</f>
        <v>7217735</v>
      </c>
      <c r="G68" s="35">
        <f t="shared" si="7"/>
        <v>1381.12</v>
      </c>
      <c r="H68" s="35">
        <f>'Table 7 Local Revenue'!AK68</f>
        <v>137256</v>
      </c>
      <c r="I68" s="35">
        <f t="shared" si="8"/>
        <v>26.26</v>
      </c>
      <c r="J68" s="35">
        <f t="shared" si="9"/>
        <v>14171529</v>
      </c>
      <c r="K68" s="35">
        <f t="shared" si="10"/>
        <v>2711.74</v>
      </c>
      <c r="L68" s="44">
        <f t="shared" si="11"/>
        <v>1.47631517</v>
      </c>
      <c r="M68" s="34">
        <f t="shared" si="12"/>
        <v>8</v>
      </c>
      <c r="N68" s="35">
        <f>+'Table 7 Local Revenue'!AC68+'Table 7 Local Revenue'!AG68+'Table 7 Local Revenue'!AK68</f>
        <v>13718632</v>
      </c>
      <c r="O68" s="35">
        <f t="shared" si="13"/>
        <v>2625.07</v>
      </c>
      <c r="P68" s="37">
        <f t="shared" si="14"/>
        <v>0.968039</v>
      </c>
      <c r="Q68" s="34">
        <f t="shared" si="15"/>
        <v>37</v>
      </c>
      <c r="U68" s="33">
        <v>39</v>
      </c>
      <c r="V68" s="34" t="s">
        <v>44</v>
      </c>
      <c r="W68" s="37">
        <v>0.614421</v>
      </c>
      <c r="X68" s="34">
        <f t="shared" si="5"/>
        <v>61</v>
      </c>
    </row>
    <row r="69" spans="1:24" ht="12.75">
      <c r="A69" s="33">
        <v>62</v>
      </c>
      <c r="B69" s="34" t="s">
        <v>66</v>
      </c>
      <c r="C69" s="34">
        <f>'Table 3 Levels 1&amp;2'!U70</f>
        <v>3600</v>
      </c>
      <c r="D69" s="35">
        <f>ROUND('Table 7 Local Revenue'!$AB$75*'Table 7 Local Revenue'!F69/1000,0)</f>
        <v>1401285</v>
      </c>
      <c r="E69" s="35">
        <f t="shared" si="6"/>
        <v>389.25</v>
      </c>
      <c r="F69" s="35">
        <f>ROUND('Table 7 Local Revenue'!$AD$75*'Table 7 Local Revenue'!AH69,0)</f>
        <v>1601194</v>
      </c>
      <c r="G69" s="35">
        <f t="shared" si="7"/>
        <v>444.78</v>
      </c>
      <c r="H69" s="35">
        <f>'Table 7 Local Revenue'!AK69</f>
        <v>117485</v>
      </c>
      <c r="I69" s="35">
        <f t="shared" si="8"/>
        <v>32.63</v>
      </c>
      <c r="J69" s="35">
        <f t="shared" si="9"/>
        <v>3119964</v>
      </c>
      <c r="K69" s="35">
        <f t="shared" si="10"/>
        <v>866.66</v>
      </c>
      <c r="L69" s="44">
        <f t="shared" si="11"/>
        <v>0.47182374</v>
      </c>
      <c r="M69" s="34">
        <f t="shared" si="12"/>
        <v>59</v>
      </c>
      <c r="N69" s="35">
        <f>+'Table 7 Local Revenue'!AC69+'Table 7 Local Revenue'!AG69+'Table 7 Local Revenue'!AK69</f>
        <v>1729425</v>
      </c>
      <c r="O69" s="35">
        <f t="shared" si="13"/>
        <v>480.4</v>
      </c>
      <c r="P69" s="37">
        <f t="shared" si="14"/>
        <v>0.554312</v>
      </c>
      <c r="Q69" s="34">
        <f t="shared" si="15"/>
        <v>64</v>
      </c>
      <c r="U69" s="33">
        <v>38</v>
      </c>
      <c r="V69" s="34" t="s">
        <v>43</v>
      </c>
      <c r="W69" s="37">
        <v>0.60936</v>
      </c>
      <c r="X69" s="34">
        <f t="shared" si="5"/>
        <v>62</v>
      </c>
    </row>
    <row r="70" spans="1:24" ht="12.75">
      <c r="A70" s="33">
        <v>63</v>
      </c>
      <c r="B70" s="34" t="s">
        <v>67</v>
      </c>
      <c r="C70" s="34">
        <f>'Table 3 Levels 1&amp;2'!U71</f>
        <v>3325</v>
      </c>
      <c r="D70" s="35">
        <f>ROUND('Table 7 Local Revenue'!$AB$75*'Table 7 Local Revenue'!F70/1000,0)</f>
        <v>12040748</v>
      </c>
      <c r="E70" s="35">
        <f t="shared" si="6"/>
        <v>3621.28</v>
      </c>
      <c r="F70" s="35">
        <f>ROUND('Table 7 Local Revenue'!$AD$75*'Table 7 Local Revenue'!AH70,0)</f>
        <v>3051246</v>
      </c>
      <c r="G70" s="35">
        <f t="shared" si="7"/>
        <v>917.67</v>
      </c>
      <c r="H70" s="35">
        <f>'Table 7 Local Revenue'!AK70</f>
        <v>60430</v>
      </c>
      <c r="I70" s="35">
        <f t="shared" si="8"/>
        <v>18.17</v>
      </c>
      <c r="J70" s="35">
        <f t="shared" si="9"/>
        <v>15152424</v>
      </c>
      <c r="K70" s="35">
        <f t="shared" si="10"/>
        <v>4557.12</v>
      </c>
      <c r="L70" s="44">
        <f t="shared" si="11"/>
        <v>2.48096993</v>
      </c>
      <c r="M70" s="34">
        <f t="shared" si="12"/>
        <v>1</v>
      </c>
      <c r="N70" s="35">
        <f>+'Table 7 Local Revenue'!AC70+'Table 7 Local Revenue'!AG70+'Table 7 Local Revenue'!AK70</f>
        <v>9925564</v>
      </c>
      <c r="O70" s="35">
        <f t="shared" si="13"/>
        <v>2985.13</v>
      </c>
      <c r="P70" s="37">
        <f t="shared" si="14"/>
        <v>0.655047</v>
      </c>
      <c r="Q70" s="34">
        <f t="shared" si="15"/>
        <v>61</v>
      </c>
      <c r="U70" s="33">
        <v>62</v>
      </c>
      <c r="V70" s="34" t="s">
        <v>66</v>
      </c>
      <c r="W70" s="37">
        <v>0.603905</v>
      </c>
      <c r="X70" s="34">
        <f t="shared" si="5"/>
        <v>63</v>
      </c>
    </row>
    <row r="71" spans="1:24" ht="12.75">
      <c r="A71" s="33">
        <v>64</v>
      </c>
      <c r="B71" s="34" t="s">
        <v>68</v>
      </c>
      <c r="C71" s="34">
        <f>'Table 3 Levels 1&amp;2'!U72</f>
        <v>4064</v>
      </c>
      <c r="D71" s="35">
        <f>ROUND('Table 7 Local Revenue'!$AB$75*'Table 7 Local Revenue'!F71/1000,0)</f>
        <v>1848192</v>
      </c>
      <c r="E71" s="35">
        <f t="shared" si="6"/>
        <v>454.77</v>
      </c>
      <c r="F71" s="35">
        <f>ROUND('Table 7 Local Revenue'!$AD$75*'Table 7 Local Revenue'!AH71,0)</f>
        <v>2862744</v>
      </c>
      <c r="G71" s="35">
        <f t="shared" si="7"/>
        <v>704.42</v>
      </c>
      <c r="H71" s="35">
        <f>'Table 7 Local Revenue'!AK71</f>
        <v>310666.5</v>
      </c>
      <c r="I71" s="35">
        <f t="shared" si="8"/>
        <v>76.44</v>
      </c>
      <c r="J71" s="35">
        <f t="shared" si="9"/>
        <v>5021602.5</v>
      </c>
      <c r="K71" s="35">
        <f t="shared" si="10"/>
        <v>1235.63</v>
      </c>
      <c r="L71" s="44">
        <f t="shared" si="11"/>
        <v>0.67269698</v>
      </c>
      <c r="M71" s="34">
        <f t="shared" si="12"/>
        <v>38</v>
      </c>
      <c r="N71" s="35">
        <f>+'Table 7 Local Revenue'!AC71+'Table 7 Local Revenue'!AG71+'Table 7 Local Revenue'!AK71</f>
        <v>5724443.5</v>
      </c>
      <c r="O71" s="35">
        <f t="shared" si="13"/>
        <v>1408.57</v>
      </c>
      <c r="P71" s="37">
        <f t="shared" si="14"/>
        <v>1.139961</v>
      </c>
      <c r="Q71" s="34">
        <f t="shared" si="15"/>
        <v>14</v>
      </c>
      <c r="U71" s="33">
        <v>33</v>
      </c>
      <c r="V71" s="34" t="s">
        <v>38</v>
      </c>
      <c r="W71" s="37">
        <v>0.537619</v>
      </c>
      <c r="X71" s="34">
        <f t="shared" si="5"/>
        <v>64</v>
      </c>
    </row>
    <row r="72" spans="1:24" ht="12.75">
      <c r="A72" s="33">
        <v>65</v>
      </c>
      <c r="B72" s="34" t="s">
        <v>69</v>
      </c>
      <c r="C72" s="34">
        <f>'Table 3 Levels 1&amp;2'!U73</f>
        <v>13355</v>
      </c>
      <c r="D72" s="35">
        <f>ROUND('Table 7 Local Revenue'!$AB$75*'Table 7 Local Revenue'!F72/1000,0)</f>
        <v>10994751</v>
      </c>
      <c r="E72" s="35">
        <f t="shared" si="6"/>
        <v>823.27</v>
      </c>
      <c r="F72" s="35">
        <f>ROUND('Table 7 Local Revenue'!$AD$75*'Table 7 Local Revenue'!AH72,0)</f>
        <v>18212480</v>
      </c>
      <c r="G72" s="35">
        <f t="shared" si="7"/>
        <v>1363.72</v>
      </c>
      <c r="H72" s="35">
        <f>'Table 7 Local Revenue'!AK72</f>
        <v>336416</v>
      </c>
      <c r="I72" s="35">
        <f t="shared" si="8"/>
        <v>25.19</v>
      </c>
      <c r="J72" s="35">
        <f t="shared" si="9"/>
        <v>29543647</v>
      </c>
      <c r="K72" s="35">
        <f t="shared" si="10"/>
        <v>2212.18</v>
      </c>
      <c r="L72" s="44">
        <f>ROUND(K72/K$75,8)</f>
        <v>1.20434662</v>
      </c>
      <c r="M72" s="34">
        <f>RANK(L72,L$8:L$73,0)</f>
        <v>13</v>
      </c>
      <c r="N72" s="35">
        <f>+'Table 7 Local Revenue'!AC72+'Table 7 Local Revenue'!AG72+'Table 7 Local Revenue'!AK72</f>
        <v>22805094</v>
      </c>
      <c r="O72" s="35">
        <f>ROUND(N72/C72,2)</f>
        <v>1707.61</v>
      </c>
      <c r="P72" s="37">
        <f>ROUND(O72/K72,6)</f>
        <v>0.771913</v>
      </c>
      <c r="Q72" s="34">
        <f>RANK(P72,P$8:P$73,0)</f>
        <v>52</v>
      </c>
      <c r="U72" s="33">
        <v>54</v>
      </c>
      <c r="V72" s="34" t="s">
        <v>58</v>
      </c>
      <c r="W72" s="37">
        <v>0.526857</v>
      </c>
      <c r="X72" s="34">
        <f>RANK(W72,W$8:W$73,0)</f>
        <v>65</v>
      </c>
    </row>
    <row r="73" spans="1:24" ht="12.75">
      <c r="A73" s="33">
        <v>66</v>
      </c>
      <c r="B73" s="34" t="s">
        <v>70</v>
      </c>
      <c r="C73" s="34">
        <f>'Table 3 Levels 1&amp;2'!U74</f>
        <v>4947</v>
      </c>
      <c r="D73" s="35">
        <f>ROUND('Table 7 Local Revenue'!$AB$75*'Table 7 Local Revenue'!F73/1000,0)</f>
        <v>1713255</v>
      </c>
      <c r="E73" s="35">
        <f>ROUND(D73/C73,2)</f>
        <v>346.32</v>
      </c>
      <c r="F73" s="35">
        <f>ROUND('Table 7 Local Revenue'!$AD$75*'Table 7 Local Revenue'!AH73,0)</f>
        <v>3750540</v>
      </c>
      <c r="G73" s="35">
        <f>ROUND(F73/C73,2)</f>
        <v>758.14</v>
      </c>
      <c r="H73" s="35">
        <f>'Table 7 Local Revenue'!AK73</f>
        <v>252406</v>
      </c>
      <c r="I73" s="35">
        <f>ROUND(H73/C73,2)</f>
        <v>51.02</v>
      </c>
      <c r="J73" s="35">
        <f>H73+F73+D73</f>
        <v>5716201</v>
      </c>
      <c r="K73" s="35">
        <f>ROUND(J73/C73,2)</f>
        <v>1155.49</v>
      </c>
      <c r="L73" s="44">
        <f>ROUND(K73/K$75,8)</f>
        <v>0.62906747</v>
      </c>
      <c r="M73" s="34">
        <f>RANK(L73,L$8:L$73,0)</f>
        <v>44</v>
      </c>
      <c r="N73" s="35">
        <f>+'Table 7 Local Revenue'!AC73+'Table 7 Local Revenue'!AG73+'Table 7 Local Revenue'!AK73</f>
        <v>4321817</v>
      </c>
      <c r="O73" s="35">
        <f>ROUND(N73/C73,2)</f>
        <v>873.62</v>
      </c>
      <c r="P73" s="37">
        <f>ROUND(O73/K73,6)</f>
        <v>0.75606</v>
      </c>
      <c r="Q73" s="34">
        <f>RANK(P73,P$8:P$73,0)</f>
        <v>54</v>
      </c>
      <c r="U73" s="33">
        <v>56</v>
      </c>
      <c r="V73" s="34" t="s">
        <v>60</v>
      </c>
      <c r="W73" s="37">
        <v>0.491033</v>
      </c>
      <c r="X73" s="34">
        <f>RANK(W73,W$8:W$73,0)</f>
        <v>66</v>
      </c>
    </row>
    <row r="74" spans="1:23" ht="12.75">
      <c r="A74" s="29"/>
      <c r="B74" s="30"/>
      <c r="C74" s="30"/>
      <c r="D74" s="42"/>
      <c r="E74" s="42"/>
      <c r="F74" s="42"/>
      <c r="G74" s="42"/>
      <c r="H74" s="42"/>
      <c r="I74" s="42"/>
      <c r="J74" s="30"/>
      <c r="K74" s="42"/>
      <c r="L74" s="44"/>
      <c r="M74" s="30"/>
      <c r="N74" s="42"/>
      <c r="O74" s="42"/>
      <c r="P74" s="46"/>
      <c r="Q74" s="30"/>
      <c r="U74" s="29"/>
      <c r="V74" s="30"/>
      <c r="W74" s="46"/>
    </row>
    <row r="75" spans="1:23" ht="13.5" thickBot="1">
      <c r="A75" s="43"/>
      <c r="B75" s="183" t="s">
        <v>71</v>
      </c>
      <c r="C75" s="202">
        <f>SUM(C8:C73)</f>
        <v>970072</v>
      </c>
      <c r="D75" s="185">
        <f>SUM(D8:D73)</f>
        <v>694542495</v>
      </c>
      <c r="E75" s="185">
        <f>ROUND(D75/C75,2)</f>
        <v>715.97</v>
      </c>
      <c r="F75" s="185">
        <f>SUM(F8:F73)</f>
        <v>1049407942</v>
      </c>
      <c r="G75" s="185">
        <f>ROUND(F75/C75,2)</f>
        <v>1081.78</v>
      </c>
      <c r="H75" s="185">
        <f>SUM(H8:H73)</f>
        <v>37911746</v>
      </c>
      <c r="I75" s="185">
        <f>ROUND(H75/C75,2)</f>
        <v>39.08</v>
      </c>
      <c r="J75" s="184">
        <f>SUM(J8:J73)</f>
        <v>1781862183</v>
      </c>
      <c r="K75" s="185">
        <f>ROUND(J75/C75,2)</f>
        <v>1836.83</v>
      </c>
      <c r="L75" s="201">
        <f>ROUND(K75/K$75,8)</f>
        <v>1</v>
      </c>
      <c r="M75" s="183"/>
      <c r="N75" s="185">
        <f>SUM(N8:N73)</f>
        <v>1781860271</v>
      </c>
      <c r="O75" s="185">
        <f>ROUND(N75/C75,2)</f>
        <v>1836.83</v>
      </c>
      <c r="P75" s="230">
        <f>ROUND(O75/K75,6)</f>
        <v>1</v>
      </c>
      <c r="Q75" s="183"/>
      <c r="U75" s="43"/>
      <c r="V75" s="183" t="s">
        <v>71</v>
      </c>
      <c r="W75" s="230">
        <v>0.999404</v>
      </c>
    </row>
    <row r="76" ht="13.5" thickTop="1"/>
    <row r="77" ht="12.75">
      <c r="V77" t="s">
        <v>583</v>
      </c>
    </row>
  </sheetData>
  <mergeCells count="7">
    <mergeCell ref="C1:H1"/>
    <mergeCell ref="P1:Q2"/>
    <mergeCell ref="H4:H5"/>
    <mergeCell ref="J4:M4"/>
    <mergeCell ref="N4:N5"/>
    <mergeCell ref="O4:Q4"/>
    <mergeCell ref="D4:G4"/>
  </mergeCells>
  <printOptions/>
  <pageMargins left="0.48" right="0.29" top="1" bottom="0.88" header="0.46" footer="0.43"/>
  <pageSetup firstPageNumber="15" useFirstPageNumber="1" horizontalDpi="600" verticalDpi="600" orientation="portrait" paperSize="5" scale="82" r:id="rId1"/>
  <headerFooter alignWithMargins="0">
    <oddHeader>&amp;L&amp;"Arial,Bold"&amp;18TABLE 6 - - 2001-02 MFP LOCAL WEALTH FACTOR</oddHeader>
    <oddFooter>&amp;L&amp;12&amp;F, &amp;A&amp;R&amp;12&amp;P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75"/>
  <sheetViews>
    <sheetView zoomScale="85" zoomScaleNormal="85" workbookViewId="0" topLeftCell="A1">
      <pane xSplit="3" ySplit="6" topLeftCell="S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" sqref="B3"/>
    </sheetView>
  </sheetViews>
  <sheetFormatPr defaultColWidth="9.140625" defaultRowHeight="12.75"/>
  <cols>
    <col min="1" max="1" width="5.00390625" style="0" customWidth="1"/>
    <col min="2" max="2" width="20.57421875" style="0" bestFit="1" customWidth="1"/>
    <col min="3" max="3" width="0.9921875" style="0" customWidth="1"/>
    <col min="4" max="6" width="22.7109375" style="0" customWidth="1"/>
    <col min="7" max="7" width="11.28125" style="0" customWidth="1"/>
    <col min="8" max="8" width="13.7109375" style="0" customWidth="1"/>
    <col min="9" max="9" width="9.8515625" style="0" customWidth="1"/>
    <col min="10" max="10" width="13.421875" style="0" customWidth="1"/>
    <col min="11" max="12" width="8.8515625" style="0" bestFit="1" customWidth="1"/>
    <col min="13" max="13" width="7.8515625" style="0" customWidth="1"/>
    <col min="14" max="14" width="13.28125" style="0" customWidth="1"/>
    <col min="15" max="15" width="14.7109375" style="0" customWidth="1"/>
    <col min="17" max="17" width="13.421875" style="0" customWidth="1"/>
    <col min="21" max="21" width="14.57421875" style="0" customWidth="1"/>
    <col min="22" max="22" width="13.57421875" style="0" customWidth="1"/>
    <col min="23" max="23" width="13.00390625" style="0" customWidth="1"/>
    <col min="24" max="24" width="14.7109375" style="0" customWidth="1"/>
    <col min="25" max="25" width="15.28125" style="0" customWidth="1"/>
    <col min="26" max="26" width="12.8515625" style="0" customWidth="1"/>
    <col min="27" max="27" width="13.7109375" style="0" customWidth="1"/>
    <col min="28" max="28" width="13.57421875" style="0" customWidth="1"/>
    <col min="29" max="29" width="14.7109375" style="0" customWidth="1"/>
    <col min="30" max="30" width="11.00390625" style="0" customWidth="1"/>
    <col min="31" max="31" width="14.8515625" style="0" customWidth="1"/>
    <col min="32" max="32" width="15.00390625" style="0" customWidth="1"/>
    <col min="33" max="33" width="14.28125" style="0" bestFit="1" customWidth="1"/>
    <col min="34" max="34" width="15.57421875" style="0" customWidth="1"/>
    <col min="35" max="35" width="8.140625" style="0" customWidth="1"/>
    <col min="36" max="36" width="9.00390625" style="0" customWidth="1"/>
    <col min="37" max="37" width="18.57421875" style="0" customWidth="1"/>
    <col min="38" max="38" width="19.57421875" style="0" customWidth="1"/>
    <col min="39" max="39" width="13.7109375" style="0" customWidth="1"/>
    <col min="41" max="41" width="12.7109375" style="0" customWidth="1"/>
    <col min="42" max="42" width="11.8515625" style="0" customWidth="1"/>
    <col min="43" max="43" width="18.28125" style="0" customWidth="1"/>
    <col min="45" max="45" width="13.140625" style="0" customWidth="1"/>
    <col min="48" max="48" width="15.57421875" style="0" customWidth="1"/>
    <col min="51" max="51" width="15.28125" style="0" customWidth="1"/>
    <col min="53" max="53" width="13.57421875" style="0" customWidth="1"/>
    <col min="55" max="55" width="13.8515625" style="0" customWidth="1"/>
    <col min="57" max="57" width="14.28125" style="0" customWidth="1"/>
  </cols>
  <sheetData>
    <row r="1" spans="2:38" ht="33.75" customHeight="1">
      <c r="B1" s="117"/>
      <c r="D1" s="725"/>
      <c r="E1" s="124"/>
      <c r="F1" s="124"/>
      <c r="H1" s="196"/>
      <c r="I1" s="2"/>
      <c r="J1" s="2"/>
      <c r="K1" s="2"/>
      <c r="L1" s="2"/>
      <c r="M1" s="2"/>
      <c r="N1" s="2"/>
      <c r="O1" s="2"/>
      <c r="Q1" s="196"/>
      <c r="R1" s="2"/>
      <c r="S1" s="2"/>
      <c r="T1" s="2"/>
      <c r="U1" s="2"/>
      <c r="V1" s="2"/>
      <c r="X1" s="196"/>
      <c r="Y1" s="2"/>
      <c r="Z1" s="2"/>
      <c r="AA1" s="2"/>
      <c r="AB1" s="2"/>
      <c r="AC1" s="2"/>
      <c r="AE1" s="196"/>
      <c r="AF1" s="2"/>
      <c r="AG1" s="2"/>
      <c r="AH1" s="2"/>
      <c r="AI1" s="2"/>
      <c r="AJ1" s="2"/>
      <c r="AK1" s="491"/>
      <c r="AL1" s="196"/>
    </row>
    <row r="2" spans="1:38" ht="18" customHeight="1">
      <c r="A2" s="227"/>
      <c r="B2" s="74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62"/>
      <c r="AD2" s="634"/>
      <c r="AE2" s="2"/>
      <c r="AF2" s="2"/>
      <c r="AG2" s="2"/>
      <c r="AH2" s="2"/>
      <c r="AI2" s="2"/>
      <c r="AJ2" s="2"/>
      <c r="AK2" s="492"/>
      <c r="AL2" s="2"/>
    </row>
    <row r="3" spans="1:38" ht="36.75" thickBot="1">
      <c r="A3" s="227"/>
      <c r="D3" s="743" t="s">
        <v>685</v>
      </c>
      <c r="E3" s="743" t="s">
        <v>685</v>
      </c>
      <c r="F3" s="743" t="s">
        <v>341</v>
      </c>
      <c r="G3" s="744" t="s">
        <v>342</v>
      </c>
      <c r="H3" s="743" t="s">
        <v>645</v>
      </c>
      <c r="I3" s="743" t="s">
        <v>343</v>
      </c>
      <c r="J3" s="743" t="s">
        <v>344</v>
      </c>
      <c r="K3" s="743" t="s">
        <v>345</v>
      </c>
      <c r="L3" s="743" t="s">
        <v>350</v>
      </c>
      <c r="M3" s="743" t="s">
        <v>351</v>
      </c>
      <c r="N3" s="743" t="s">
        <v>352</v>
      </c>
      <c r="O3" s="743" t="s">
        <v>353</v>
      </c>
      <c r="P3" s="743" t="s">
        <v>354</v>
      </c>
      <c r="Q3" s="743" t="s">
        <v>355</v>
      </c>
      <c r="R3" s="743" t="s">
        <v>356</v>
      </c>
      <c r="S3" s="743" t="s">
        <v>357</v>
      </c>
      <c r="T3" s="743" t="s">
        <v>358</v>
      </c>
      <c r="U3" s="743" t="s">
        <v>359</v>
      </c>
      <c r="V3" s="743" t="s">
        <v>360</v>
      </c>
      <c r="W3" s="743" t="s">
        <v>361</v>
      </c>
      <c r="X3" s="743" t="s">
        <v>362</v>
      </c>
      <c r="Y3" s="743" t="s">
        <v>363</v>
      </c>
      <c r="Z3" s="743" t="s">
        <v>364</v>
      </c>
      <c r="AA3" s="743" t="s">
        <v>365</v>
      </c>
      <c r="AB3" s="743" t="s">
        <v>716</v>
      </c>
      <c r="AC3" s="743" t="s">
        <v>571</v>
      </c>
      <c r="AD3" s="743" t="s">
        <v>366</v>
      </c>
      <c r="AE3" s="743" t="s">
        <v>367</v>
      </c>
      <c r="AF3" s="743" t="s">
        <v>368</v>
      </c>
      <c r="AG3" s="743" t="s">
        <v>369</v>
      </c>
      <c r="AH3" s="743" t="s">
        <v>370</v>
      </c>
      <c r="AI3" s="743" t="s">
        <v>371</v>
      </c>
      <c r="AJ3" s="743" t="s">
        <v>372</v>
      </c>
      <c r="AK3" s="743" t="s">
        <v>717</v>
      </c>
      <c r="AL3" s="743" t="s">
        <v>646</v>
      </c>
    </row>
    <row r="4" spans="1:38" ht="27.75" customHeight="1">
      <c r="A4" s="415"/>
      <c r="B4" s="440"/>
      <c r="C4" s="423"/>
      <c r="D4" s="892" t="s">
        <v>644</v>
      </c>
      <c r="E4" s="893"/>
      <c r="F4" s="894" t="s">
        <v>88</v>
      </c>
      <c r="G4" s="898" t="s">
        <v>216</v>
      </c>
      <c r="H4" s="899"/>
      <c r="I4" s="879" t="s">
        <v>217</v>
      </c>
      <c r="J4" s="880"/>
      <c r="K4" s="880"/>
      <c r="L4" s="880"/>
      <c r="M4" s="880"/>
      <c r="N4" s="881"/>
      <c r="O4" s="882" t="s">
        <v>98</v>
      </c>
      <c r="P4" s="879" t="s">
        <v>83</v>
      </c>
      <c r="Q4" s="880"/>
      <c r="R4" s="880"/>
      <c r="S4" s="880"/>
      <c r="T4" s="880"/>
      <c r="U4" s="881"/>
      <c r="V4" s="882" t="s">
        <v>97</v>
      </c>
      <c r="W4" s="879" t="s">
        <v>221</v>
      </c>
      <c r="X4" s="888"/>
      <c r="Y4" s="888"/>
      <c r="Z4" s="888"/>
      <c r="AA4" s="888"/>
      <c r="AB4" s="888"/>
      <c r="AC4" s="896" t="s">
        <v>96</v>
      </c>
      <c r="AD4" s="880" t="s">
        <v>99</v>
      </c>
      <c r="AE4" s="888"/>
      <c r="AF4" s="888"/>
      <c r="AG4" s="889" t="s">
        <v>103</v>
      </c>
      <c r="AH4" s="880" t="s">
        <v>104</v>
      </c>
      <c r="AI4" s="888"/>
      <c r="AJ4" s="891"/>
      <c r="AK4" s="886" t="s">
        <v>545</v>
      </c>
      <c r="AL4" s="883" t="s">
        <v>300</v>
      </c>
    </row>
    <row r="5" spans="1:38" ht="51">
      <c r="A5" s="420" t="s">
        <v>308</v>
      </c>
      <c r="B5" s="421" t="s">
        <v>111</v>
      </c>
      <c r="C5" s="422"/>
      <c r="D5" s="414" t="s">
        <v>86</v>
      </c>
      <c r="E5" s="586" t="s">
        <v>87</v>
      </c>
      <c r="F5" s="895"/>
      <c r="G5" s="205" t="s">
        <v>89</v>
      </c>
      <c r="H5" s="205" t="s">
        <v>90</v>
      </c>
      <c r="I5" s="205" t="s">
        <v>89</v>
      </c>
      <c r="J5" s="205" t="s">
        <v>90</v>
      </c>
      <c r="K5" s="205" t="s">
        <v>346</v>
      </c>
      <c r="L5" s="205" t="s">
        <v>347</v>
      </c>
      <c r="M5" s="205" t="s">
        <v>348</v>
      </c>
      <c r="N5" s="205" t="s">
        <v>349</v>
      </c>
      <c r="O5" s="885"/>
      <c r="P5" s="205" t="s">
        <v>89</v>
      </c>
      <c r="Q5" s="205" t="s">
        <v>90</v>
      </c>
      <c r="R5" s="205" t="s">
        <v>91</v>
      </c>
      <c r="S5" s="205" t="s">
        <v>92</v>
      </c>
      <c r="T5" s="205" t="s">
        <v>348</v>
      </c>
      <c r="U5" s="205" t="s">
        <v>93</v>
      </c>
      <c r="V5" s="885"/>
      <c r="W5" s="205" t="s">
        <v>481</v>
      </c>
      <c r="X5" s="205" t="s">
        <v>94</v>
      </c>
      <c r="Y5" s="205" t="s">
        <v>95</v>
      </c>
      <c r="Z5" s="205" t="s">
        <v>542</v>
      </c>
      <c r="AA5" s="205" t="s">
        <v>543</v>
      </c>
      <c r="AB5" s="599" t="s">
        <v>544</v>
      </c>
      <c r="AC5" s="897"/>
      <c r="AD5" s="499" t="s">
        <v>100</v>
      </c>
      <c r="AE5" s="207" t="s">
        <v>101</v>
      </c>
      <c r="AF5" s="590" t="s">
        <v>102</v>
      </c>
      <c r="AG5" s="890"/>
      <c r="AH5" s="594" t="s">
        <v>104</v>
      </c>
      <c r="AI5" s="206" t="s">
        <v>105</v>
      </c>
      <c r="AJ5" s="206" t="s">
        <v>106</v>
      </c>
      <c r="AK5" s="887"/>
      <c r="AL5" s="884"/>
    </row>
    <row r="6" spans="1:38" ht="12.75">
      <c r="A6" s="334"/>
      <c r="B6" s="412"/>
      <c r="C6" s="413"/>
      <c r="D6" s="210" t="s">
        <v>131</v>
      </c>
      <c r="E6" s="504" t="s">
        <v>373</v>
      </c>
      <c r="F6" s="210" t="s">
        <v>132</v>
      </c>
      <c r="G6" s="500" t="s">
        <v>133</v>
      </c>
      <c r="H6" s="210" t="s">
        <v>134</v>
      </c>
      <c r="I6" s="210" t="s">
        <v>135</v>
      </c>
      <c r="J6" s="210" t="s">
        <v>136</v>
      </c>
      <c r="K6" s="210" t="s">
        <v>137</v>
      </c>
      <c r="L6" s="210" t="s">
        <v>138</v>
      </c>
      <c r="M6" s="210" t="s">
        <v>139</v>
      </c>
      <c r="N6" s="210" t="s">
        <v>140</v>
      </c>
      <c r="O6" s="210" t="s">
        <v>141</v>
      </c>
      <c r="P6" s="210" t="s">
        <v>214</v>
      </c>
      <c r="Q6" s="210" t="s">
        <v>321</v>
      </c>
      <c r="R6" s="210" t="s">
        <v>322</v>
      </c>
      <c r="S6" s="210" t="s">
        <v>215</v>
      </c>
      <c r="T6" s="210" t="s">
        <v>323</v>
      </c>
      <c r="U6" s="210" t="s">
        <v>324</v>
      </c>
      <c r="V6" s="210" t="s">
        <v>325</v>
      </c>
      <c r="W6" s="210" t="s">
        <v>326</v>
      </c>
      <c r="X6" s="210" t="s">
        <v>327</v>
      </c>
      <c r="Y6" s="210" t="s">
        <v>328</v>
      </c>
      <c r="Z6" s="210" t="s">
        <v>329</v>
      </c>
      <c r="AA6" s="210" t="s">
        <v>218</v>
      </c>
      <c r="AB6" s="504" t="s">
        <v>219</v>
      </c>
      <c r="AC6" s="604" t="s">
        <v>220</v>
      </c>
      <c r="AD6" s="500" t="s">
        <v>330</v>
      </c>
      <c r="AE6" s="210" t="s">
        <v>331</v>
      </c>
      <c r="AF6" s="504" t="s">
        <v>332</v>
      </c>
      <c r="AG6" s="507" t="s">
        <v>333</v>
      </c>
      <c r="AH6" s="500" t="s">
        <v>334</v>
      </c>
      <c r="AI6" s="210" t="s">
        <v>335</v>
      </c>
      <c r="AJ6" s="210" t="s">
        <v>336</v>
      </c>
      <c r="AK6" s="750" t="s">
        <v>301</v>
      </c>
      <c r="AL6" s="500" t="s">
        <v>337</v>
      </c>
    </row>
    <row r="7" spans="1:38" ht="12.75">
      <c r="A7" s="25"/>
      <c r="B7" s="404"/>
      <c r="C7" s="400"/>
      <c r="D7" s="30"/>
      <c r="E7" s="399"/>
      <c r="F7" s="30"/>
      <c r="G7" s="400"/>
      <c r="H7" s="125"/>
      <c r="I7" s="30"/>
      <c r="J7" s="125"/>
      <c r="K7" s="30"/>
      <c r="L7" s="30"/>
      <c r="M7" s="30"/>
      <c r="N7" s="125"/>
      <c r="O7" s="30"/>
      <c r="P7" s="30"/>
      <c r="Q7" s="125"/>
      <c r="R7" s="30"/>
      <c r="S7" s="30"/>
      <c r="T7" s="30"/>
      <c r="U7" s="125"/>
      <c r="V7" s="30"/>
      <c r="W7" s="30"/>
      <c r="X7" s="30"/>
      <c r="Y7" s="30"/>
      <c r="Z7" s="30"/>
      <c r="AA7" s="30"/>
      <c r="AB7" s="399"/>
      <c r="AC7" s="605"/>
      <c r="AD7" s="400"/>
      <c r="AE7" s="128"/>
      <c r="AF7" s="591"/>
      <c r="AG7" s="508"/>
      <c r="AH7" s="400"/>
      <c r="AI7" s="30"/>
      <c r="AJ7" s="30"/>
      <c r="AK7" s="751"/>
      <c r="AL7" s="400"/>
    </row>
    <row r="8" spans="1:38" ht="12.75">
      <c r="A8" s="33">
        <v>1</v>
      </c>
      <c r="B8" s="405" t="s">
        <v>6</v>
      </c>
      <c r="C8" s="401"/>
      <c r="D8" s="469">
        <f>+'[3]2000 Property Assessments'!C6</f>
        <v>190744750</v>
      </c>
      <c r="E8" s="587">
        <f>+'[3]2000 Property Assessments'!D6</f>
        <v>52190290</v>
      </c>
      <c r="F8" s="35">
        <f aca="true" t="shared" si="0" ref="F8:F39">D8-E8</f>
        <v>138554460</v>
      </c>
      <c r="G8" s="745">
        <f>+'[3]Ad Valorem Taxes'!C7</f>
        <v>5.14</v>
      </c>
      <c r="H8" s="469">
        <f>+'[3]Ad Valorem Taxes'!D7</f>
        <v>679708</v>
      </c>
      <c r="I8" s="494">
        <f>+'[3]Ad Valorem Taxes'!E7</f>
        <v>20.03</v>
      </c>
      <c r="J8" s="469">
        <f>+'[3]Ad Valorem Taxes'!F7</f>
        <v>2649032</v>
      </c>
      <c r="K8" s="493">
        <f>+'[3]Ad Valorem Taxes'!G7</f>
        <v>0</v>
      </c>
      <c r="L8" s="493">
        <f>+'[3]Ad Valorem Taxes'!H7</f>
        <v>13.45</v>
      </c>
      <c r="M8" s="493">
        <f>+'[3]Ad Valorem Taxes'!I7</f>
        <v>1</v>
      </c>
      <c r="N8" s="469">
        <f>+'[3]Ad Valorem Taxes'!J7</f>
        <v>116188</v>
      </c>
      <c r="O8" s="35">
        <f>H8+J8+N8</f>
        <v>3444928</v>
      </c>
      <c r="P8" s="493">
        <f>+'[3]Ad Valorem Taxes'!L7</f>
        <v>0</v>
      </c>
      <c r="Q8" s="469">
        <f>+'[3]Ad Valorem Taxes'!M7</f>
        <v>0</v>
      </c>
      <c r="R8" s="493">
        <f>+'[3]Ad Valorem Taxes'!N7</f>
        <v>0</v>
      </c>
      <c r="S8" s="493">
        <f>+'[3]Ad Valorem Taxes'!O7</f>
        <v>34</v>
      </c>
      <c r="T8" s="495">
        <f>+'[3]Ad Valorem Taxes'!P7</f>
        <v>5</v>
      </c>
      <c r="U8" s="469">
        <f>+'[3]Ad Valorem Taxes'!Q7</f>
        <v>1001758</v>
      </c>
      <c r="V8" s="35">
        <f>Q8+U8</f>
        <v>1001758</v>
      </c>
      <c r="W8" s="59">
        <f aca="true" t="shared" si="1" ref="W8:W39">G8+I8+P8</f>
        <v>25.17</v>
      </c>
      <c r="X8" s="35">
        <f aca="true" t="shared" si="2" ref="X8:X39">H8+J8+Q8</f>
        <v>3328740</v>
      </c>
      <c r="Y8" s="35">
        <f aca="true" t="shared" si="3" ref="Y8:Y39">N8+U8</f>
        <v>1117946</v>
      </c>
      <c r="Z8" s="231">
        <f aca="true" t="shared" si="4" ref="Z8:Z39">ROUND((V8/F8)*1000,3)</f>
        <v>7.23</v>
      </c>
      <c r="AA8" s="231">
        <f aca="true" t="shared" si="5" ref="AA8:AA39">ROUND((O8/F8)*1000,3)</f>
        <v>24.863</v>
      </c>
      <c r="AB8" s="600">
        <f aca="true" t="shared" si="6" ref="AB8:AB39">ROUND((AC8/F8)*1000,3)</f>
        <v>32.093</v>
      </c>
      <c r="AC8" s="606">
        <f aca="true" t="shared" si="7" ref="AC8:AC39">V8+O8</f>
        <v>4446686</v>
      </c>
      <c r="AD8" s="501">
        <f>+'[3]Sales Taxes'!C8</f>
        <v>0.01</v>
      </c>
      <c r="AE8" s="489">
        <f>+'[3]Sales Taxes'!D8</f>
        <v>5615506</v>
      </c>
      <c r="AF8" s="592">
        <f>+'[3]Sales Taxes'!E8</f>
        <v>0</v>
      </c>
      <c r="AG8" s="597">
        <f aca="true" t="shared" si="8" ref="AG8:AG39">SUM(AE8+AF8)</f>
        <v>5615506</v>
      </c>
      <c r="AH8" s="595">
        <f aca="true" t="shared" si="9" ref="AH8:AH18">ROUND(AG8/AD8,0)</f>
        <v>561550600</v>
      </c>
      <c r="AI8" s="39">
        <f aca="true" t="shared" si="10" ref="AI8:AI39">ROUND(AE8/AH8,4)</f>
        <v>0.01</v>
      </c>
      <c r="AJ8" s="39">
        <f aca="true" t="shared" si="11" ref="AJ8:AJ39">ROUND(AF8/AH8,4)</f>
        <v>0</v>
      </c>
      <c r="AK8" s="752">
        <f>+'[3]Other Revenue'!N8</f>
        <v>415399</v>
      </c>
      <c r="AL8" s="505">
        <f>+AK8+AG8+AC8</f>
        <v>10477591</v>
      </c>
    </row>
    <row r="9" spans="1:38" ht="12.75">
      <c r="A9" s="33">
        <v>2</v>
      </c>
      <c r="B9" s="405" t="s">
        <v>7</v>
      </c>
      <c r="C9" s="401"/>
      <c r="D9" s="469">
        <f>+'[3]2000 Property Assessments'!C7</f>
        <v>79414760</v>
      </c>
      <c r="E9" s="587">
        <f>+'[3]2000 Property Assessments'!D7</f>
        <v>20148900</v>
      </c>
      <c r="F9" s="35">
        <f t="shared" si="0"/>
        <v>59265860</v>
      </c>
      <c r="G9" s="745">
        <f>+'[3]Ad Valorem Taxes'!C8</f>
        <v>4.26</v>
      </c>
      <c r="H9" s="469">
        <f>+'[3]Ad Valorem Taxes'!D8</f>
        <v>227808</v>
      </c>
      <c r="I9" s="494">
        <f>+'[3]Ad Valorem Taxes'!E8</f>
        <v>5.13</v>
      </c>
      <c r="J9" s="469">
        <f>+'[3]Ad Valorem Taxes'!F8</f>
        <v>274334</v>
      </c>
      <c r="K9" s="493">
        <f>+'[3]Ad Valorem Taxes'!G8</f>
        <v>12.37</v>
      </c>
      <c r="L9" s="493">
        <f>+'[3]Ad Valorem Taxes'!H8</f>
        <v>68.22</v>
      </c>
      <c r="M9" s="493">
        <f>+'[3]Ad Valorem Taxes'!I8</f>
        <v>6</v>
      </c>
      <c r="N9" s="469">
        <f>+'[3]Ad Valorem Taxes'!J8</f>
        <v>1053412</v>
      </c>
      <c r="O9" s="35">
        <f aca="true" t="shared" si="12" ref="O9:O39">H9+J9+N9</f>
        <v>1555554</v>
      </c>
      <c r="P9" s="493">
        <f>+'[3]Ad Valorem Taxes'!L8</f>
        <v>0</v>
      </c>
      <c r="Q9" s="469">
        <f>+'[3]Ad Valorem Taxes'!M8</f>
        <v>0</v>
      </c>
      <c r="R9" s="493">
        <f>+'[3]Ad Valorem Taxes'!N8</f>
        <v>9.5</v>
      </c>
      <c r="S9" s="493">
        <f>+'[3]Ad Valorem Taxes'!O8</f>
        <v>36.6</v>
      </c>
      <c r="T9" s="495">
        <f>+'[3]Ad Valorem Taxes'!P8</f>
        <v>6</v>
      </c>
      <c r="U9" s="469">
        <f>+'[3]Ad Valorem Taxes'!Q8</f>
        <v>1190775</v>
      </c>
      <c r="V9" s="35">
        <f aca="true" t="shared" si="13" ref="V9:V39">Q9+U9</f>
        <v>1190775</v>
      </c>
      <c r="W9" s="59">
        <f t="shared" si="1"/>
        <v>9.39</v>
      </c>
      <c r="X9" s="35">
        <f t="shared" si="2"/>
        <v>502142</v>
      </c>
      <c r="Y9" s="35">
        <f t="shared" si="3"/>
        <v>2244187</v>
      </c>
      <c r="Z9" s="231">
        <f t="shared" si="4"/>
        <v>20.092</v>
      </c>
      <c r="AA9" s="231">
        <f t="shared" si="5"/>
        <v>26.247</v>
      </c>
      <c r="AB9" s="600">
        <f t="shared" si="6"/>
        <v>46.339</v>
      </c>
      <c r="AC9" s="606">
        <f t="shared" si="7"/>
        <v>2746329</v>
      </c>
      <c r="AD9" s="501">
        <f>+'[3]Sales Taxes'!C9</f>
        <v>0.02</v>
      </c>
      <c r="AE9" s="489">
        <f>+'[3]Sales Taxes'!D9</f>
        <v>3522058</v>
      </c>
      <c r="AF9" s="592">
        <f>+'[3]Sales Taxes'!E9</f>
        <v>0</v>
      </c>
      <c r="AG9" s="597">
        <f t="shared" si="8"/>
        <v>3522058</v>
      </c>
      <c r="AH9" s="595">
        <f t="shared" si="9"/>
        <v>176102900</v>
      </c>
      <c r="AI9" s="39">
        <f t="shared" si="10"/>
        <v>0.02</v>
      </c>
      <c r="AJ9" s="39">
        <f t="shared" si="11"/>
        <v>0</v>
      </c>
      <c r="AK9" s="752">
        <f>+'[3]Other Revenue'!N9</f>
        <v>100015</v>
      </c>
      <c r="AL9" s="505">
        <f aca="true" t="shared" si="14" ref="AL9:AL72">+AK9+AG9+AC9</f>
        <v>6368402</v>
      </c>
    </row>
    <row r="10" spans="1:38" ht="12.75">
      <c r="A10" s="33">
        <v>3</v>
      </c>
      <c r="B10" s="405" t="s">
        <v>8</v>
      </c>
      <c r="C10" s="401"/>
      <c r="D10" s="469">
        <f>+'[3]2000 Property Assessments'!C8</f>
        <v>490043860</v>
      </c>
      <c r="E10" s="587">
        <f>+'[3]2000 Property Assessments'!D8</f>
        <v>105154410</v>
      </c>
      <c r="F10" s="35">
        <f t="shared" si="0"/>
        <v>384889450</v>
      </c>
      <c r="G10" s="745">
        <f>+'[3]Ad Valorem Taxes'!C9</f>
        <v>3.52</v>
      </c>
      <c r="H10" s="469">
        <f>+'[3]Ad Valorem Taxes'!D9</f>
        <v>1363525</v>
      </c>
      <c r="I10" s="494">
        <f>+'[3]Ad Valorem Taxes'!E9</f>
        <v>33.27</v>
      </c>
      <c r="J10" s="469">
        <f>+'[3]Ad Valorem Taxes'!F9</f>
        <v>12857409</v>
      </c>
      <c r="K10" s="493">
        <f>+'[3]Ad Valorem Taxes'!G9</f>
        <v>0</v>
      </c>
      <c r="L10" s="493">
        <f>+'[3]Ad Valorem Taxes'!H9</f>
        <v>0</v>
      </c>
      <c r="M10" s="493">
        <f>+'[3]Ad Valorem Taxes'!I9</f>
        <v>0</v>
      </c>
      <c r="N10" s="469">
        <f>+'[3]Ad Valorem Taxes'!J9</f>
        <v>0</v>
      </c>
      <c r="O10" s="35">
        <f t="shared" si="12"/>
        <v>14220934</v>
      </c>
      <c r="P10" s="493">
        <f>+'[3]Ad Valorem Taxes'!L9</f>
        <v>15.08</v>
      </c>
      <c r="Q10" s="469">
        <f>+'[3]Ad Valorem Taxes'!M9</f>
        <v>5845004</v>
      </c>
      <c r="R10" s="493">
        <f>+'[3]Ad Valorem Taxes'!N9</f>
        <v>0</v>
      </c>
      <c r="S10" s="493">
        <f>+'[3]Ad Valorem Taxes'!O9</f>
        <v>0</v>
      </c>
      <c r="T10" s="495">
        <f>+'[3]Ad Valorem Taxes'!P9</f>
        <v>0</v>
      </c>
      <c r="U10" s="469">
        <f>+'[3]Ad Valorem Taxes'!Q9</f>
        <v>0</v>
      </c>
      <c r="V10" s="35">
        <f t="shared" si="13"/>
        <v>5845004</v>
      </c>
      <c r="W10" s="59">
        <f t="shared" si="1"/>
        <v>51.870000000000005</v>
      </c>
      <c r="X10" s="35">
        <f t="shared" si="2"/>
        <v>20065938</v>
      </c>
      <c r="Y10" s="35">
        <f t="shared" si="3"/>
        <v>0</v>
      </c>
      <c r="Z10" s="231">
        <f t="shared" si="4"/>
        <v>15.186</v>
      </c>
      <c r="AA10" s="231">
        <f t="shared" si="5"/>
        <v>36.948</v>
      </c>
      <c r="AB10" s="600">
        <f t="shared" si="6"/>
        <v>52.134</v>
      </c>
      <c r="AC10" s="606">
        <f t="shared" si="7"/>
        <v>20065938</v>
      </c>
      <c r="AD10" s="501">
        <f>+'[3]Sales Taxes'!C10</f>
        <v>0.02</v>
      </c>
      <c r="AE10" s="489">
        <f>+'[3]Sales Taxes'!D10</f>
        <v>31262503</v>
      </c>
      <c r="AF10" s="592">
        <f>+'[3]Sales Taxes'!E10</f>
        <v>0</v>
      </c>
      <c r="AG10" s="597">
        <f t="shared" si="8"/>
        <v>31262503</v>
      </c>
      <c r="AH10" s="595">
        <f t="shared" si="9"/>
        <v>1563125150</v>
      </c>
      <c r="AI10" s="39">
        <f t="shared" si="10"/>
        <v>0.02</v>
      </c>
      <c r="AJ10" s="39">
        <f t="shared" si="11"/>
        <v>0</v>
      </c>
      <c r="AK10" s="752">
        <f>+'[3]Other Revenue'!N10</f>
        <v>173623.5</v>
      </c>
      <c r="AL10" s="505">
        <f t="shared" si="14"/>
        <v>51502064.5</v>
      </c>
    </row>
    <row r="11" spans="1:38" ht="12.75">
      <c r="A11" s="33">
        <v>4</v>
      </c>
      <c r="B11" s="405" t="s">
        <v>9</v>
      </c>
      <c r="C11" s="401"/>
      <c r="D11" s="469">
        <f>+'[3]2000 Property Assessments'!C9</f>
        <v>87808885</v>
      </c>
      <c r="E11" s="587">
        <f>+'[3]2000 Property Assessments'!D9</f>
        <v>23871571</v>
      </c>
      <c r="F11" s="35">
        <f t="shared" si="0"/>
        <v>63937314</v>
      </c>
      <c r="G11" s="745">
        <f>+'[3]Ad Valorem Taxes'!C10</f>
        <v>5.51</v>
      </c>
      <c r="H11" s="469">
        <f>+'[3]Ad Valorem Taxes'!D10</f>
        <v>344717</v>
      </c>
      <c r="I11" s="494">
        <f>+'[3]Ad Valorem Taxes'!E10</f>
        <v>33.98</v>
      </c>
      <c r="J11" s="469">
        <f>+'[3]Ad Valorem Taxes'!F10</f>
        <v>2125964</v>
      </c>
      <c r="K11" s="493">
        <f>+'[3]Ad Valorem Taxes'!G10</f>
        <v>0</v>
      </c>
      <c r="L11" s="493">
        <f>+'[3]Ad Valorem Taxes'!H10</f>
        <v>0</v>
      </c>
      <c r="M11" s="493">
        <f>+'[3]Ad Valorem Taxes'!I10</f>
        <v>0</v>
      </c>
      <c r="N11" s="469">
        <f>+'[3]Ad Valorem Taxes'!J10</f>
        <v>0</v>
      </c>
      <c r="O11" s="35">
        <f t="shared" si="12"/>
        <v>2470681</v>
      </c>
      <c r="P11" s="493">
        <f>+'[3]Ad Valorem Taxes'!L10</f>
        <v>4</v>
      </c>
      <c r="Q11" s="469">
        <f>+'[3]Ad Valorem Taxes'!M10</f>
        <v>250317</v>
      </c>
      <c r="R11" s="493">
        <f>+'[3]Ad Valorem Taxes'!N10</f>
        <v>0</v>
      </c>
      <c r="S11" s="493">
        <f>+'[3]Ad Valorem Taxes'!O10</f>
        <v>0</v>
      </c>
      <c r="T11" s="495">
        <f>+'[3]Ad Valorem Taxes'!P10</f>
        <v>0</v>
      </c>
      <c r="U11" s="469">
        <f>+'[3]Ad Valorem Taxes'!Q10</f>
        <v>0</v>
      </c>
      <c r="V11" s="35">
        <f t="shared" si="13"/>
        <v>250317</v>
      </c>
      <c r="W11" s="59">
        <f t="shared" si="1"/>
        <v>43.489999999999995</v>
      </c>
      <c r="X11" s="35">
        <f t="shared" si="2"/>
        <v>2720998</v>
      </c>
      <c r="Y11" s="35">
        <f t="shared" si="3"/>
        <v>0</v>
      </c>
      <c r="Z11" s="231">
        <f t="shared" si="4"/>
        <v>3.915</v>
      </c>
      <c r="AA11" s="231">
        <f t="shared" si="5"/>
        <v>38.642</v>
      </c>
      <c r="AB11" s="600">
        <f t="shared" si="6"/>
        <v>42.557</v>
      </c>
      <c r="AC11" s="606">
        <f t="shared" si="7"/>
        <v>2720998</v>
      </c>
      <c r="AD11" s="501">
        <f>+'[3]Sales Taxes'!C11</f>
        <v>0.025</v>
      </c>
      <c r="AE11" s="489">
        <f>+'[3]Sales Taxes'!D11</f>
        <v>3299952</v>
      </c>
      <c r="AF11" s="592">
        <f>+'[3]Sales Taxes'!E11</f>
        <v>824973</v>
      </c>
      <c r="AG11" s="597">
        <f t="shared" si="8"/>
        <v>4124925</v>
      </c>
      <c r="AH11" s="595">
        <f t="shared" si="9"/>
        <v>164997000</v>
      </c>
      <c r="AI11" s="39">
        <f t="shared" si="10"/>
        <v>0.02</v>
      </c>
      <c r="AJ11" s="39">
        <f t="shared" si="11"/>
        <v>0.005</v>
      </c>
      <c r="AK11" s="752">
        <f>+'[3]Other Revenue'!N11</f>
        <v>260808.5</v>
      </c>
      <c r="AL11" s="505">
        <f t="shared" si="14"/>
        <v>7106731.5</v>
      </c>
    </row>
    <row r="12" spans="1:38" ht="12.75">
      <c r="A12" s="47">
        <v>5</v>
      </c>
      <c r="B12" s="406" t="s">
        <v>10</v>
      </c>
      <c r="C12" s="402"/>
      <c r="D12" s="472">
        <f>+'[3]2000 Property Assessments'!C10</f>
        <v>104515080</v>
      </c>
      <c r="E12" s="588">
        <f>+'[3]2000 Property Assessments'!D10</f>
        <v>41288650</v>
      </c>
      <c r="F12" s="49">
        <f t="shared" si="0"/>
        <v>63226430</v>
      </c>
      <c r="G12" s="746">
        <f>+'[3]Ad Valorem Taxes'!C11</f>
        <v>3.46</v>
      </c>
      <c r="H12" s="472">
        <f>+'[3]Ad Valorem Taxes'!D11</f>
        <v>218512</v>
      </c>
      <c r="I12" s="497">
        <f>+'[3]Ad Valorem Taxes'!E11</f>
        <v>5</v>
      </c>
      <c r="J12" s="472">
        <f>+'[3]Ad Valorem Taxes'!F11</f>
        <v>631684</v>
      </c>
      <c r="K12" s="496">
        <f>+'[3]Ad Valorem Taxes'!G11</f>
        <v>0</v>
      </c>
      <c r="L12" s="496">
        <f>+'[3]Ad Valorem Taxes'!H11</f>
        <v>0</v>
      </c>
      <c r="M12" s="496">
        <f>+'[3]Ad Valorem Taxes'!I11</f>
        <v>0</v>
      </c>
      <c r="N12" s="472">
        <f>+'[3]Ad Valorem Taxes'!J11</f>
        <v>0</v>
      </c>
      <c r="O12" s="49">
        <f t="shared" si="12"/>
        <v>850196</v>
      </c>
      <c r="P12" s="496">
        <f>+'[3]Ad Valorem Taxes'!L11</f>
        <v>5</v>
      </c>
      <c r="Q12" s="472">
        <f>+'[3]Ad Valorem Taxes'!M11</f>
        <v>0</v>
      </c>
      <c r="R12" s="496">
        <f>+'[3]Ad Valorem Taxes'!N11</f>
        <v>9</v>
      </c>
      <c r="S12" s="496">
        <f>+'[3]Ad Valorem Taxes'!O11</f>
        <v>20</v>
      </c>
      <c r="T12" s="498">
        <f>+'[3]Ad Valorem Taxes'!P11</f>
        <v>9</v>
      </c>
      <c r="U12" s="472">
        <f>+'[3]Ad Valorem Taxes'!Q11</f>
        <v>609836</v>
      </c>
      <c r="V12" s="49">
        <f t="shared" si="13"/>
        <v>609836</v>
      </c>
      <c r="W12" s="60">
        <f t="shared" si="1"/>
        <v>13.46</v>
      </c>
      <c r="X12" s="49">
        <f t="shared" si="2"/>
        <v>850196</v>
      </c>
      <c r="Y12" s="49">
        <f t="shared" si="3"/>
        <v>609836</v>
      </c>
      <c r="Z12" s="232">
        <f t="shared" si="4"/>
        <v>9.645</v>
      </c>
      <c r="AA12" s="232">
        <f t="shared" si="5"/>
        <v>13.447</v>
      </c>
      <c r="AB12" s="601">
        <f t="shared" si="6"/>
        <v>23.092</v>
      </c>
      <c r="AC12" s="607">
        <f t="shared" si="7"/>
        <v>1460032</v>
      </c>
      <c r="AD12" s="502">
        <f>+'[3]Sales Taxes'!C12</f>
        <v>0.015</v>
      </c>
      <c r="AE12" s="490">
        <f>+'[3]Sales Taxes'!D12</f>
        <v>4118214</v>
      </c>
      <c r="AF12" s="593">
        <f>+'[3]Sales Taxes'!E12</f>
        <v>378300</v>
      </c>
      <c r="AG12" s="598">
        <f t="shared" si="8"/>
        <v>4496514</v>
      </c>
      <c r="AH12" s="596">
        <f t="shared" si="9"/>
        <v>299767600</v>
      </c>
      <c r="AI12" s="52">
        <f t="shared" si="10"/>
        <v>0.0137</v>
      </c>
      <c r="AJ12" s="52">
        <f t="shared" si="11"/>
        <v>0.0013</v>
      </c>
      <c r="AK12" s="755">
        <f>+'[3]Other Revenue'!N12</f>
        <v>302099.5</v>
      </c>
      <c r="AL12" s="584">
        <f t="shared" si="14"/>
        <v>6258645.5</v>
      </c>
    </row>
    <row r="13" spans="1:38" ht="12.75">
      <c r="A13" s="33">
        <v>6</v>
      </c>
      <c r="B13" s="405" t="s">
        <v>11</v>
      </c>
      <c r="C13" s="401"/>
      <c r="D13" s="469">
        <f>+'[3]2000 Property Assessments'!C11</f>
        <v>154006424</v>
      </c>
      <c r="E13" s="587">
        <f>+'[3]2000 Property Assessments'!D11</f>
        <v>35550686</v>
      </c>
      <c r="F13" s="35">
        <f t="shared" si="0"/>
        <v>118455738</v>
      </c>
      <c r="G13" s="745">
        <f>+'[3]Ad Valorem Taxes'!C12</f>
        <v>4.3</v>
      </c>
      <c r="H13" s="469">
        <f>+'[3]Ad Valorem Taxes'!D12</f>
        <v>611718</v>
      </c>
      <c r="I13" s="494">
        <f>+'[3]Ad Valorem Taxes'!E12</f>
        <v>27.05</v>
      </c>
      <c r="J13" s="469">
        <f>+'[3]Ad Valorem Taxes'!F12</f>
        <v>3026957</v>
      </c>
      <c r="K13" s="493">
        <f>+'[3]Ad Valorem Taxes'!G12</f>
        <v>0</v>
      </c>
      <c r="L13" s="493">
        <f>+'[3]Ad Valorem Taxes'!H12</f>
        <v>0</v>
      </c>
      <c r="M13" s="493">
        <f>+'[3]Ad Valorem Taxes'!I12</f>
        <v>0</v>
      </c>
      <c r="N13" s="469">
        <f>+'[3]Ad Valorem Taxes'!J12</f>
        <v>0</v>
      </c>
      <c r="O13" s="35">
        <f t="shared" si="12"/>
        <v>3638675</v>
      </c>
      <c r="P13" s="493">
        <f>+'[3]Ad Valorem Taxes'!L12</f>
        <v>17.8</v>
      </c>
      <c r="Q13" s="469">
        <f>+'[3]Ad Valorem Taxes'!M12</f>
        <v>2068435</v>
      </c>
      <c r="R13" s="493">
        <f>+'[3]Ad Valorem Taxes'!N12</f>
        <v>0</v>
      </c>
      <c r="S13" s="493">
        <f>+'[3]Ad Valorem Taxes'!O12</f>
        <v>0</v>
      </c>
      <c r="T13" s="495">
        <f>+'[3]Ad Valorem Taxes'!P12</f>
        <v>0</v>
      </c>
      <c r="U13" s="469">
        <f>+'[3]Ad Valorem Taxes'!Q12</f>
        <v>0</v>
      </c>
      <c r="V13" s="35">
        <f t="shared" si="13"/>
        <v>2068435</v>
      </c>
      <c r="W13" s="59">
        <f t="shared" si="1"/>
        <v>49.150000000000006</v>
      </c>
      <c r="X13" s="35">
        <f t="shared" si="2"/>
        <v>5707110</v>
      </c>
      <c r="Y13" s="35">
        <f t="shared" si="3"/>
        <v>0</v>
      </c>
      <c r="Z13" s="231">
        <f t="shared" si="4"/>
        <v>17.462</v>
      </c>
      <c r="AA13" s="231">
        <f t="shared" si="5"/>
        <v>30.718</v>
      </c>
      <c r="AB13" s="600">
        <f t="shared" si="6"/>
        <v>48.179</v>
      </c>
      <c r="AC13" s="606">
        <f t="shared" si="7"/>
        <v>5707110</v>
      </c>
      <c r="AD13" s="501">
        <f>+'[3]Sales Taxes'!C13</f>
        <v>0.02</v>
      </c>
      <c r="AE13" s="489">
        <f>+'[3]Sales Taxes'!D13</f>
        <v>6782231</v>
      </c>
      <c r="AF13" s="592">
        <f>+'[3]Sales Taxes'!E13</f>
        <v>0</v>
      </c>
      <c r="AG13" s="597">
        <f t="shared" si="8"/>
        <v>6782231</v>
      </c>
      <c r="AH13" s="595">
        <f t="shared" si="9"/>
        <v>339111550</v>
      </c>
      <c r="AI13" s="39">
        <f t="shared" si="10"/>
        <v>0.02</v>
      </c>
      <c r="AJ13" s="39">
        <f t="shared" si="11"/>
        <v>0</v>
      </c>
      <c r="AK13" s="752">
        <f>+'[3]Other Revenue'!N13</f>
        <v>283064.5</v>
      </c>
      <c r="AL13" s="505">
        <f t="shared" si="14"/>
        <v>12772405.5</v>
      </c>
    </row>
    <row r="14" spans="1:38" ht="12.75">
      <c r="A14" s="33">
        <v>7</v>
      </c>
      <c r="B14" s="405" t="s">
        <v>12</v>
      </c>
      <c r="C14" s="401"/>
      <c r="D14" s="469">
        <f>+'[3]2000 Property Assessments'!C12</f>
        <v>127454230</v>
      </c>
      <c r="E14" s="587">
        <f>+'[3]2000 Property Assessments'!D12</f>
        <v>11652540</v>
      </c>
      <c r="F14" s="35">
        <f t="shared" si="0"/>
        <v>115801690</v>
      </c>
      <c r="G14" s="745">
        <f>+'[3]Ad Valorem Taxes'!C13</f>
        <v>6.03</v>
      </c>
      <c r="H14" s="469">
        <f>+'[3]Ad Valorem Taxes'!D13</f>
        <v>677327</v>
      </c>
      <c r="I14" s="494">
        <f>+'[3]Ad Valorem Taxes'!E13</f>
        <v>26.36</v>
      </c>
      <c r="J14" s="469">
        <f>+'[3]Ad Valorem Taxes'!F13</f>
        <v>2981979</v>
      </c>
      <c r="K14" s="493">
        <f>+'[3]Ad Valorem Taxes'!G13</f>
        <v>0</v>
      </c>
      <c r="L14" s="493">
        <f>+'[3]Ad Valorem Taxes'!H13</f>
        <v>0</v>
      </c>
      <c r="M14" s="493">
        <f>+'[3]Ad Valorem Taxes'!I13</f>
        <v>0</v>
      </c>
      <c r="N14" s="469">
        <f>+'[3]Ad Valorem Taxes'!J13</f>
        <v>0</v>
      </c>
      <c r="O14" s="35">
        <f t="shared" si="12"/>
        <v>3659306</v>
      </c>
      <c r="P14" s="493">
        <f>+'[3]Ad Valorem Taxes'!L13</f>
        <v>0</v>
      </c>
      <c r="Q14" s="469">
        <f>+'[3]Ad Valorem Taxes'!M13</f>
        <v>0</v>
      </c>
      <c r="R14" s="493">
        <f>+'[3]Ad Valorem Taxes'!N13</f>
        <v>4</v>
      </c>
      <c r="S14" s="493">
        <f>+'[3]Ad Valorem Taxes'!O13</f>
        <v>59</v>
      </c>
      <c r="T14" s="495">
        <f>+'[3]Ad Valorem Taxes'!P13</f>
        <v>7</v>
      </c>
      <c r="U14" s="469">
        <f>+'[3]Ad Valorem Taxes'!Q13</f>
        <v>1037421</v>
      </c>
      <c r="V14" s="35">
        <f t="shared" si="13"/>
        <v>1037421</v>
      </c>
      <c r="W14" s="59">
        <f t="shared" si="1"/>
        <v>32.39</v>
      </c>
      <c r="X14" s="35">
        <f t="shared" si="2"/>
        <v>3659306</v>
      </c>
      <c r="Y14" s="35">
        <f t="shared" si="3"/>
        <v>1037421</v>
      </c>
      <c r="Z14" s="231">
        <f t="shared" si="4"/>
        <v>8.959</v>
      </c>
      <c r="AA14" s="231">
        <f t="shared" si="5"/>
        <v>31.6</v>
      </c>
      <c r="AB14" s="600">
        <f t="shared" si="6"/>
        <v>40.558</v>
      </c>
      <c r="AC14" s="606">
        <f t="shared" si="7"/>
        <v>4696727</v>
      </c>
      <c r="AD14" s="501">
        <f>+'[3]Sales Taxes'!C14</f>
        <v>0.02</v>
      </c>
      <c r="AE14" s="489">
        <f>+'[3]Sales Taxes'!D14</f>
        <v>3309149</v>
      </c>
      <c r="AF14" s="592">
        <f>+'[3]Sales Taxes'!E14</f>
        <v>0</v>
      </c>
      <c r="AG14" s="597">
        <f t="shared" si="8"/>
        <v>3309149</v>
      </c>
      <c r="AH14" s="595">
        <f t="shared" si="9"/>
        <v>165457450</v>
      </c>
      <c r="AI14" s="39">
        <f t="shared" si="10"/>
        <v>0.02</v>
      </c>
      <c r="AJ14" s="39">
        <f t="shared" si="11"/>
        <v>0</v>
      </c>
      <c r="AK14" s="752">
        <f>+'[3]Other Revenue'!N14</f>
        <v>140953.5</v>
      </c>
      <c r="AL14" s="505">
        <f t="shared" si="14"/>
        <v>8146829.5</v>
      </c>
    </row>
    <row r="15" spans="1:38" ht="12.75">
      <c r="A15" s="33">
        <v>8</v>
      </c>
      <c r="B15" s="405" t="s">
        <v>13</v>
      </c>
      <c r="C15" s="401"/>
      <c r="D15" s="469">
        <f>+'[3]2000 Property Assessments'!C13</f>
        <v>450641960</v>
      </c>
      <c r="E15" s="587">
        <f>+'[3]2000 Property Assessments'!D13</f>
        <v>119849120</v>
      </c>
      <c r="F15" s="35">
        <f t="shared" si="0"/>
        <v>330792840</v>
      </c>
      <c r="G15" s="745">
        <f>+'[3]Ad Valorem Taxes'!C14</f>
        <v>4.22</v>
      </c>
      <c r="H15" s="469">
        <f>+'[3]Ad Valorem Taxes'!D14</f>
        <v>1281102</v>
      </c>
      <c r="I15" s="494">
        <f>+'[3]Ad Valorem Taxes'!E14</f>
        <v>45.72</v>
      </c>
      <c r="J15" s="469">
        <f>+'[3]Ad Valorem Taxes'!F14</f>
        <v>13842604</v>
      </c>
      <c r="K15" s="493">
        <f>+'[3]Ad Valorem Taxes'!G14</f>
        <v>0</v>
      </c>
      <c r="L15" s="493">
        <f>+'[3]Ad Valorem Taxes'!H14</f>
        <v>0</v>
      </c>
      <c r="M15" s="493">
        <f>+'[3]Ad Valorem Taxes'!I14</f>
        <v>0</v>
      </c>
      <c r="N15" s="469">
        <f>+'[3]Ad Valorem Taxes'!J14</f>
        <v>0</v>
      </c>
      <c r="O15" s="35">
        <f t="shared" si="12"/>
        <v>15123706</v>
      </c>
      <c r="P15" s="493">
        <f>+'[3]Ad Valorem Taxes'!L14</f>
        <v>0</v>
      </c>
      <c r="Q15" s="469">
        <f>+'[3]Ad Valorem Taxes'!M14</f>
        <v>0</v>
      </c>
      <c r="R15" s="493">
        <f>+'[3]Ad Valorem Taxes'!N14</f>
        <v>5.2</v>
      </c>
      <c r="S15" s="493">
        <f>+'[3]Ad Valorem Taxes'!O14</f>
        <v>5.2</v>
      </c>
      <c r="T15" s="495">
        <f>+'[3]Ad Valorem Taxes'!P14</f>
        <v>1</v>
      </c>
      <c r="U15" s="469">
        <f>+'[3]Ad Valorem Taxes'!Q14</f>
        <v>1587628</v>
      </c>
      <c r="V15" s="35">
        <f t="shared" si="13"/>
        <v>1587628</v>
      </c>
      <c r="W15" s="59">
        <f t="shared" si="1"/>
        <v>49.94</v>
      </c>
      <c r="X15" s="35">
        <f t="shared" si="2"/>
        <v>15123706</v>
      </c>
      <c r="Y15" s="35">
        <f t="shared" si="3"/>
        <v>1587628</v>
      </c>
      <c r="Z15" s="231">
        <f t="shared" si="4"/>
        <v>4.799</v>
      </c>
      <c r="AA15" s="231">
        <f t="shared" si="5"/>
        <v>45.72</v>
      </c>
      <c r="AB15" s="600">
        <f t="shared" si="6"/>
        <v>50.519</v>
      </c>
      <c r="AC15" s="606">
        <f t="shared" si="7"/>
        <v>16711334</v>
      </c>
      <c r="AD15" s="501">
        <f>+'[3]Sales Taxes'!C15</f>
        <v>0.015</v>
      </c>
      <c r="AE15" s="489">
        <f>+'[3]Sales Taxes'!D15</f>
        <v>22404446</v>
      </c>
      <c r="AF15" s="592">
        <f>+'[3]Sales Taxes'!E15</f>
        <v>0</v>
      </c>
      <c r="AG15" s="597">
        <f t="shared" si="8"/>
        <v>22404446</v>
      </c>
      <c r="AH15" s="595">
        <f t="shared" si="9"/>
        <v>1493629733</v>
      </c>
      <c r="AI15" s="39">
        <f t="shared" si="10"/>
        <v>0.015</v>
      </c>
      <c r="AJ15" s="39">
        <f t="shared" si="11"/>
        <v>0</v>
      </c>
      <c r="AK15" s="752">
        <f>+'[3]Other Revenue'!N15</f>
        <v>566601</v>
      </c>
      <c r="AL15" s="505">
        <f t="shared" si="14"/>
        <v>39682381</v>
      </c>
    </row>
    <row r="16" spans="1:38" ht="12.75">
      <c r="A16" s="33">
        <v>9</v>
      </c>
      <c r="B16" s="405" t="s">
        <v>14</v>
      </c>
      <c r="C16" s="401"/>
      <c r="D16" s="469">
        <f>+'[3]2000 Property Assessments'!C14</f>
        <v>1131885010</v>
      </c>
      <c r="E16" s="587">
        <f>+'[3]2000 Property Assessments'!D14</f>
        <v>293890560</v>
      </c>
      <c r="F16" s="35">
        <f t="shared" si="0"/>
        <v>837994450</v>
      </c>
      <c r="G16" s="745">
        <f>+'[3]Ad Valorem Taxes'!C15</f>
        <v>9.25</v>
      </c>
      <c r="H16" s="469">
        <f>+'[3]Ad Valorem Taxes'!D15</f>
        <v>7550656</v>
      </c>
      <c r="I16" s="494">
        <f>+'[3]Ad Valorem Taxes'!E15</f>
        <v>67.08</v>
      </c>
      <c r="J16" s="469">
        <f>+'[3]Ad Valorem Taxes'!F15</f>
        <v>54757832</v>
      </c>
      <c r="K16" s="493">
        <f>+'[3]Ad Valorem Taxes'!G15</f>
        <v>0</v>
      </c>
      <c r="L16" s="493">
        <f>+'[3]Ad Valorem Taxes'!H15</f>
        <v>0</v>
      </c>
      <c r="M16" s="493">
        <f>+'[3]Ad Valorem Taxes'!I15</f>
        <v>0</v>
      </c>
      <c r="N16" s="469">
        <f>+'[3]Ad Valorem Taxes'!J15</f>
        <v>0</v>
      </c>
      <c r="O16" s="35">
        <f t="shared" si="12"/>
        <v>62308488</v>
      </c>
      <c r="P16" s="493">
        <f>+'[3]Ad Valorem Taxes'!L15</f>
        <v>9.3</v>
      </c>
      <c r="Q16" s="469">
        <f>+'[3]Ad Valorem Taxes'!M15</f>
        <v>7454321</v>
      </c>
      <c r="R16" s="493">
        <f>+'[3]Ad Valorem Taxes'!N15</f>
        <v>0</v>
      </c>
      <c r="S16" s="493">
        <f>+'[3]Ad Valorem Taxes'!O15</f>
        <v>0</v>
      </c>
      <c r="T16" s="495">
        <f>+'[3]Ad Valorem Taxes'!P15</f>
        <v>0</v>
      </c>
      <c r="U16" s="469">
        <f>+'[3]Ad Valorem Taxes'!Q15</f>
        <v>0</v>
      </c>
      <c r="V16" s="35">
        <f t="shared" si="13"/>
        <v>7454321</v>
      </c>
      <c r="W16" s="59">
        <f t="shared" si="1"/>
        <v>85.63</v>
      </c>
      <c r="X16" s="35">
        <f t="shared" si="2"/>
        <v>69762809</v>
      </c>
      <c r="Y16" s="35">
        <f t="shared" si="3"/>
        <v>0</v>
      </c>
      <c r="Z16" s="231">
        <f t="shared" si="4"/>
        <v>8.895</v>
      </c>
      <c r="AA16" s="231">
        <f t="shared" si="5"/>
        <v>74.354</v>
      </c>
      <c r="AB16" s="600">
        <f t="shared" si="6"/>
        <v>83.25</v>
      </c>
      <c r="AC16" s="606">
        <f t="shared" si="7"/>
        <v>69762809</v>
      </c>
      <c r="AD16" s="501">
        <f>+'[3]Sales Taxes'!C16</f>
        <v>0.015</v>
      </c>
      <c r="AE16" s="489">
        <f>+'[3]Sales Taxes'!D16</f>
        <v>51775585</v>
      </c>
      <c r="AF16" s="592">
        <f>+'[3]Sales Taxes'!E16</f>
        <v>0</v>
      </c>
      <c r="AG16" s="597">
        <f t="shared" si="8"/>
        <v>51775585</v>
      </c>
      <c r="AH16" s="595">
        <f t="shared" si="9"/>
        <v>3451705667</v>
      </c>
      <c r="AI16" s="39">
        <f t="shared" si="10"/>
        <v>0.015</v>
      </c>
      <c r="AJ16" s="39">
        <f t="shared" si="11"/>
        <v>0</v>
      </c>
      <c r="AK16" s="752">
        <f>+'[3]Other Revenue'!N16</f>
        <v>2323830</v>
      </c>
      <c r="AL16" s="505">
        <f t="shared" si="14"/>
        <v>123862224</v>
      </c>
    </row>
    <row r="17" spans="1:38" ht="12.75">
      <c r="A17" s="47">
        <v>10</v>
      </c>
      <c r="B17" s="406" t="s">
        <v>15</v>
      </c>
      <c r="C17" s="402"/>
      <c r="D17" s="472">
        <f>+'[3]2000 Property Assessments'!C15</f>
        <v>1026152610</v>
      </c>
      <c r="E17" s="588">
        <f>+'[3]2000 Property Assessments'!D15</f>
        <v>227443330</v>
      </c>
      <c r="F17" s="49">
        <f t="shared" si="0"/>
        <v>798709280</v>
      </c>
      <c r="G17" s="746">
        <f>+'[3]Ad Valorem Taxes'!C16</f>
        <v>5.82</v>
      </c>
      <c r="H17" s="472">
        <f>+'[3]Ad Valorem Taxes'!D16</f>
        <v>4549312</v>
      </c>
      <c r="I17" s="497">
        <f>+'[3]Ad Valorem Taxes'!E16</f>
        <v>13.74</v>
      </c>
      <c r="J17" s="472">
        <f>+'[3]Ad Valorem Taxes'!F16</f>
        <v>10740229</v>
      </c>
      <c r="K17" s="496">
        <f>+'[3]Ad Valorem Taxes'!G16</f>
        <v>0</v>
      </c>
      <c r="L17" s="496">
        <f>+'[3]Ad Valorem Taxes'!H16</f>
        <v>0</v>
      </c>
      <c r="M17" s="496">
        <f>+'[3]Ad Valorem Taxes'!I16</f>
        <v>0</v>
      </c>
      <c r="N17" s="472">
        <f>+'[3]Ad Valorem Taxes'!J16</f>
        <v>0</v>
      </c>
      <c r="O17" s="49">
        <f t="shared" si="12"/>
        <v>15289541</v>
      </c>
      <c r="P17" s="496">
        <f>+'[3]Ad Valorem Taxes'!L16</f>
        <v>0</v>
      </c>
      <c r="Q17" s="472">
        <f>+'[3]Ad Valorem Taxes'!M16</f>
        <v>0</v>
      </c>
      <c r="R17" s="496">
        <f>+'[3]Ad Valorem Taxes'!N16</f>
        <v>9.2</v>
      </c>
      <c r="S17" s="496">
        <f>+'[3]Ad Valorem Taxes'!O16</f>
        <v>55.5</v>
      </c>
      <c r="T17" s="498">
        <f>+'[3]Ad Valorem Taxes'!P16</f>
        <v>10</v>
      </c>
      <c r="U17" s="472">
        <f>+'[3]Ad Valorem Taxes'!Q16</f>
        <v>13419804</v>
      </c>
      <c r="V17" s="49">
        <f t="shared" si="13"/>
        <v>13419804</v>
      </c>
      <c r="W17" s="60">
        <f t="shared" si="1"/>
        <v>19.560000000000002</v>
      </c>
      <c r="X17" s="49">
        <f t="shared" si="2"/>
        <v>15289541</v>
      </c>
      <c r="Y17" s="49">
        <f t="shared" si="3"/>
        <v>13419804</v>
      </c>
      <c r="Z17" s="232">
        <f t="shared" si="4"/>
        <v>16.802</v>
      </c>
      <c r="AA17" s="232">
        <f t="shared" si="5"/>
        <v>19.143</v>
      </c>
      <c r="AB17" s="601">
        <f t="shared" si="6"/>
        <v>35.945</v>
      </c>
      <c r="AC17" s="607">
        <f t="shared" si="7"/>
        <v>28709345</v>
      </c>
      <c r="AD17" s="502">
        <f>+'[3]Sales Taxes'!C17</f>
        <v>0.02</v>
      </c>
      <c r="AE17" s="490">
        <f>+'[3]Sales Taxes'!D17</f>
        <v>61543820</v>
      </c>
      <c r="AF17" s="593">
        <f>+'[3]Sales Taxes'!E17</f>
        <v>0</v>
      </c>
      <c r="AG17" s="598">
        <f t="shared" si="8"/>
        <v>61543820</v>
      </c>
      <c r="AH17" s="596">
        <f t="shared" si="9"/>
        <v>3077191000</v>
      </c>
      <c r="AI17" s="52">
        <f t="shared" si="10"/>
        <v>0.02</v>
      </c>
      <c r="AJ17" s="52">
        <f t="shared" si="11"/>
        <v>0</v>
      </c>
      <c r="AK17" s="755">
        <f>+'[3]Other Revenue'!N17</f>
        <v>1021699.5</v>
      </c>
      <c r="AL17" s="584">
        <f t="shared" si="14"/>
        <v>91274864.5</v>
      </c>
    </row>
    <row r="18" spans="1:38" ht="12.75">
      <c r="A18" s="33">
        <v>11</v>
      </c>
      <c r="B18" s="405" t="s">
        <v>16</v>
      </c>
      <c r="C18" s="401"/>
      <c r="D18" s="469">
        <f>+'[3]2000 Property Assessments'!C16</f>
        <v>33688291</v>
      </c>
      <c r="E18" s="587">
        <f>+'[3]2000 Property Assessments'!D16</f>
        <v>10022075</v>
      </c>
      <c r="F18" s="35">
        <f t="shared" si="0"/>
        <v>23666216</v>
      </c>
      <c r="G18" s="745">
        <f>+'[3]Ad Valorem Taxes'!C17</f>
        <v>5.12</v>
      </c>
      <c r="H18" s="469">
        <f>+'[3]Ad Valorem Taxes'!D17</f>
        <v>117072</v>
      </c>
      <c r="I18" s="494">
        <f>+'[3]Ad Valorem Taxes'!E17</f>
        <v>31.34</v>
      </c>
      <c r="J18" s="469">
        <f>+'[3]Ad Valorem Taxes'!F17</f>
        <v>716611</v>
      </c>
      <c r="K18" s="493">
        <f>+'[3]Ad Valorem Taxes'!G17</f>
        <v>0</v>
      </c>
      <c r="L18" s="493">
        <f>+'[3]Ad Valorem Taxes'!H17</f>
        <v>0</v>
      </c>
      <c r="M18" s="493">
        <f>+'[3]Ad Valorem Taxes'!I17</f>
        <v>0</v>
      </c>
      <c r="N18" s="469">
        <f>+'[3]Ad Valorem Taxes'!J17</f>
        <v>0</v>
      </c>
      <c r="O18" s="35">
        <f t="shared" si="12"/>
        <v>833683</v>
      </c>
      <c r="P18" s="493">
        <f>+'[3]Ad Valorem Taxes'!L17</f>
        <v>0</v>
      </c>
      <c r="Q18" s="469">
        <f>+'[3]Ad Valorem Taxes'!M17</f>
        <v>5684</v>
      </c>
      <c r="R18" s="493">
        <f>+'[3]Ad Valorem Taxes'!N17</f>
        <v>0</v>
      </c>
      <c r="S18" s="493">
        <f>+'[3]Ad Valorem Taxes'!O17</f>
        <v>0</v>
      </c>
      <c r="T18" s="495">
        <f>+'[3]Ad Valorem Taxes'!P17</f>
        <v>0</v>
      </c>
      <c r="U18" s="469">
        <f>+'[3]Ad Valorem Taxes'!Q17</f>
        <v>0</v>
      </c>
      <c r="V18" s="35">
        <f t="shared" si="13"/>
        <v>5684</v>
      </c>
      <c r="W18" s="59">
        <f t="shared" si="1"/>
        <v>36.46</v>
      </c>
      <c r="X18" s="35">
        <f t="shared" si="2"/>
        <v>839367</v>
      </c>
      <c r="Y18" s="35">
        <f t="shared" si="3"/>
        <v>0</v>
      </c>
      <c r="Z18" s="231">
        <f t="shared" si="4"/>
        <v>0.24</v>
      </c>
      <c r="AA18" s="231">
        <f t="shared" si="5"/>
        <v>35.227</v>
      </c>
      <c r="AB18" s="600">
        <f t="shared" si="6"/>
        <v>35.467</v>
      </c>
      <c r="AC18" s="606">
        <f t="shared" si="7"/>
        <v>839367</v>
      </c>
      <c r="AD18" s="501">
        <f>+'[3]Sales Taxes'!C18</f>
        <v>0.02</v>
      </c>
      <c r="AE18" s="489">
        <f>+'[3]Sales Taxes'!D18</f>
        <v>1256961</v>
      </c>
      <c r="AF18" s="592">
        <f>+'[3]Sales Taxes'!E18</f>
        <v>0</v>
      </c>
      <c r="AG18" s="597">
        <f t="shared" si="8"/>
        <v>1256961</v>
      </c>
      <c r="AH18" s="595">
        <f t="shared" si="9"/>
        <v>62848050</v>
      </c>
      <c r="AI18" s="39">
        <f t="shared" si="10"/>
        <v>0.02</v>
      </c>
      <c r="AJ18" s="39">
        <f t="shared" si="11"/>
        <v>0</v>
      </c>
      <c r="AK18" s="752">
        <f>+'[3]Other Revenue'!N18</f>
        <v>86709.5</v>
      </c>
      <c r="AL18" s="505">
        <f t="shared" si="14"/>
        <v>2183037.5</v>
      </c>
    </row>
    <row r="19" spans="1:38" ht="12.75">
      <c r="A19" s="33">
        <v>12</v>
      </c>
      <c r="B19" s="405" t="s">
        <v>17</v>
      </c>
      <c r="C19" s="401"/>
      <c r="D19" s="469">
        <f>+'[3]2000 Property Assessments'!C17</f>
        <v>139366621</v>
      </c>
      <c r="E19" s="587">
        <f>+'[3]2000 Property Assessments'!D17</f>
        <v>10605744</v>
      </c>
      <c r="F19" s="35">
        <f t="shared" si="0"/>
        <v>128760877</v>
      </c>
      <c r="G19" s="745">
        <f>+'[3]Ad Valorem Taxes'!C18</f>
        <v>4.64</v>
      </c>
      <c r="H19" s="469">
        <f>+'[3]Ad Valorem Taxes'!D18</f>
        <v>629794</v>
      </c>
      <c r="I19" s="494">
        <f>+'[3]Ad Valorem Taxes'!E18</f>
        <v>46.08</v>
      </c>
      <c r="J19" s="469">
        <f>+'[3]Ad Valorem Taxes'!F18</f>
        <v>6257038</v>
      </c>
      <c r="K19" s="493">
        <f>+'[3]Ad Valorem Taxes'!G18</f>
        <v>0</v>
      </c>
      <c r="L19" s="493">
        <f>+'[3]Ad Valorem Taxes'!H18</f>
        <v>0</v>
      </c>
      <c r="M19" s="493">
        <f>+'[3]Ad Valorem Taxes'!I18</f>
        <v>0</v>
      </c>
      <c r="N19" s="469">
        <f>+'[3]Ad Valorem Taxes'!J18</f>
        <v>0</v>
      </c>
      <c r="O19" s="35">
        <f t="shared" si="12"/>
        <v>6886832</v>
      </c>
      <c r="P19" s="493">
        <f>+'[3]Ad Valorem Taxes'!L18</f>
        <v>0</v>
      </c>
      <c r="Q19" s="469">
        <f>+'[3]Ad Valorem Taxes'!M18</f>
        <v>0</v>
      </c>
      <c r="R19" s="493">
        <f>+'[3]Ad Valorem Taxes'!N18</f>
        <v>7</v>
      </c>
      <c r="S19" s="493">
        <f>+'[3]Ad Valorem Taxes'!O18</f>
        <v>22</v>
      </c>
      <c r="T19" s="495">
        <f>+'[3]Ad Valorem Taxes'!P18</f>
        <v>2</v>
      </c>
      <c r="U19" s="469">
        <f>+'[3]Ad Valorem Taxes'!Q18</f>
        <v>802680</v>
      </c>
      <c r="V19" s="35">
        <f t="shared" si="13"/>
        <v>802680</v>
      </c>
      <c r="W19" s="59">
        <f t="shared" si="1"/>
        <v>50.72</v>
      </c>
      <c r="X19" s="35">
        <f t="shared" si="2"/>
        <v>6886832</v>
      </c>
      <c r="Y19" s="35">
        <f t="shared" si="3"/>
        <v>802680</v>
      </c>
      <c r="Z19" s="231">
        <f t="shared" si="4"/>
        <v>6.234</v>
      </c>
      <c r="AA19" s="231">
        <f t="shared" si="5"/>
        <v>53.485</v>
      </c>
      <c r="AB19" s="600">
        <f t="shared" si="6"/>
        <v>59.719</v>
      </c>
      <c r="AC19" s="606">
        <f t="shared" si="7"/>
        <v>7689512</v>
      </c>
      <c r="AD19" s="501">
        <f>+'[3]Sales Taxes'!C19</f>
        <v>0</v>
      </c>
      <c r="AE19" s="489">
        <f>+'[3]Sales Taxes'!D19</f>
        <v>0</v>
      </c>
      <c r="AF19" s="592">
        <f>+'[3]Sales Taxes'!E19</f>
        <v>0</v>
      </c>
      <c r="AG19" s="597">
        <f t="shared" si="8"/>
        <v>0</v>
      </c>
      <c r="AH19" s="505">
        <f>+'[3]Sales Taxes'!$L$25</f>
        <v>16245350</v>
      </c>
      <c r="AI19" s="39">
        <f t="shared" si="10"/>
        <v>0</v>
      </c>
      <c r="AJ19" s="39">
        <f t="shared" si="11"/>
        <v>0</v>
      </c>
      <c r="AK19" s="752">
        <f>+'[3]Other Revenue'!N19</f>
        <v>827476</v>
      </c>
      <c r="AL19" s="505">
        <f t="shared" si="14"/>
        <v>8516988</v>
      </c>
    </row>
    <row r="20" spans="1:38" ht="12.75">
      <c r="A20" s="33">
        <v>13</v>
      </c>
      <c r="B20" s="405" t="s">
        <v>18</v>
      </c>
      <c r="C20" s="401"/>
      <c r="D20" s="469">
        <f>+'[3]2000 Property Assessments'!C18</f>
        <v>38596810</v>
      </c>
      <c r="E20" s="587">
        <f>+'[3]2000 Property Assessments'!D18</f>
        <v>11263680</v>
      </c>
      <c r="F20" s="35">
        <f t="shared" si="0"/>
        <v>27333130</v>
      </c>
      <c r="G20" s="745">
        <f>+'[3]Ad Valorem Taxes'!C19</f>
        <v>4.29</v>
      </c>
      <c r="H20" s="469">
        <f>+'[3]Ad Valorem Taxes'!D19</f>
        <v>115452</v>
      </c>
      <c r="I20" s="494">
        <f>+'[3]Ad Valorem Taxes'!E19</f>
        <v>12.75</v>
      </c>
      <c r="J20" s="469">
        <f>+'[3]Ad Valorem Taxes'!F19</f>
        <v>343090</v>
      </c>
      <c r="K20" s="493">
        <f>+'[3]Ad Valorem Taxes'!G19</f>
        <v>4.79</v>
      </c>
      <c r="L20" s="493">
        <f>+'[3]Ad Valorem Taxes'!H19</f>
        <v>5.29</v>
      </c>
      <c r="M20" s="493">
        <f>+'[3]Ad Valorem Taxes'!I19</f>
        <v>4</v>
      </c>
      <c r="N20" s="469">
        <f>+'[3]Ad Valorem Taxes'!J19</f>
        <v>114569</v>
      </c>
      <c r="O20" s="35">
        <f t="shared" si="12"/>
        <v>573111</v>
      </c>
      <c r="P20" s="493">
        <f>+'[3]Ad Valorem Taxes'!L19</f>
        <v>0</v>
      </c>
      <c r="Q20" s="469">
        <f>+'[3]Ad Valorem Taxes'!M19</f>
        <v>0</v>
      </c>
      <c r="R20" s="493">
        <f>+'[3]Ad Valorem Taxes'!N19</f>
        <v>10</v>
      </c>
      <c r="S20" s="493">
        <f>+'[3]Ad Valorem Taxes'!O19</f>
        <v>42</v>
      </c>
      <c r="T20" s="495">
        <f>+'[3]Ad Valorem Taxes'!P19</f>
        <v>4</v>
      </c>
      <c r="U20" s="469">
        <f>+'[3]Ad Valorem Taxes'!Q19</f>
        <v>568412</v>
      </c>
      <c r="V20" s="35">
        <f t="shared" si="13"/>
        <v>568412</v>
      </c>
      <c r="W20" s="59">
        <f t="shared" si="1"/>
        <v>17.04</v>
      </c>
      <c r="X20" s="35">
        <f t="shared" si="2"/>
        <v>458542</v>
      </c>
      <c r="Y20" s="35">
        <f t="shared" si="3"/>
        <v>682981</v>
      </c>
      <c r="Z20" s="231">
        <f t="shared" si="4"/>
        <v>20.796</v>
      </c>
      <c r="AA20" s="231">
        <f t="shared" si="5"/>
        <v>20.968</v>
      </c>
      <c r="AB20" s="600">
        <f t="shared" si="6"/>
        <v>41.763</v>
      </c>
      <c r="AC20" s="606">
        <f t="shared" si="7"/>
        <v>1141523</v>
      </c>
      <c r="AD20" s="501">
        <f>+'[3]Sales Taxes'!C20</f>
        <v>0.02</v>
      </c>
      <c r="AE20" s="489">
        <f>+'[3]Sales Taxes'!D20</f>
        <v>1398981</v>
      </c>
      <c r="AF20" s="592">
        <f>+'[3]Sales Taxes'!E20</f>
        <v>0</v>
      </c>
      <c r="AG20" s="597">
        <f t="shared" si="8"/>
        <v>1398981</v>
      </c>
      <c r="AH20" s="595">
        <f aca="true" t="shared" si="15" ref="AH20:AH51">ROUND(AG20/AD20,0)</f>
        <v>69949050</v>
      </c>
      <c r="AI20" s="39">
        <f t="shared" si="10"/>
        <v>0.02</v>
      </c>
      <c r="AJ20" s="39">
        <f t="shared" si="11"/>
        <v>0</v>
      </c>
      <c r="AK20" s="752">
        <f>+'[3]Other Revenue'!N20</f>
        <v>95502.5</v>
      </c>
      <c r="AL20" s="505">
        <f t="shared" si="14"/>
        <v>2636006.5</v>
      </c>
    </row>
    <row r="21" spans="1:38" ht="12.75">
      <c r="A21" s="33">
        <v>14</v>
      </c>
      <c r="B21" s="405" t="s">
        <v>19</v>
      </c>
      <c r="C21" s="401"/>
      <c r="D21" s="469">
        <f>+'[3]2000 Property Assessments'!C19</f>
        <v>80918640</v>
      </c>
      <c r="E21" s="587">
        <f>+'[3]2000 Property Assessments'!D19</f>
        <v>16575330</v>
      </c>
      <c r="F21" s="35">
        <f t="shared" si="0"/>
        <v>64343310</v>
      </c>
      <c r="G21" s="745">
        <f>+'[3]Ad Valorem Taxes'!C20</f>
        <v>6.29</v>
      </c>
      <c r="H21" s="469">
        <f>+'[3]Ad Valorem Taxes'!D20</f>
        <v>405507</v>
      </c>
      <c r="I21" s="494">
        <f>+'[3]Ad Valorem Taxes'!E20</f>
        <v>12.22</v>
      </c>
      <c r="J21" s="469">
        <f>+'[3]Ad Valorem Taxes'!F20</f>
        <v>757189</v>
      </c>
      <c r="K21" s="493">
        <f>+'[3]Ad Valorem Taxes'!G20</f>
        <v>4.06</v>
      </c>
      <c r="L21" s="493">
        <f>+'[3]Ad Valorem Taxes'!H20</f>
        <v>12.66</v>
      </c>
      <c r="M21" s="493">
        <f>+'[3]Ad Valorem Taxes'!I20</f>
        <v>5</v>
      </c>
      <c r="N21" s="469">
        <f>+'[3]Ad Valorem Taxes'!J20</f>
        <v>429684</v>
      </c>
      <c r="O21" s="35">
        <f t="shared" si="12"/>
        <v>1592380</v>
      </c>
      <c r="P21" s="493">
        <f>+'[3]Ad Valorem Taxes'!L20</f>
        <v>0</v>
      </c>
      <c r="Q21" s="469">
        <f>+'[3]Ad Valorem Taxes'!M20</f>
        <v>0</v>
      </c>
      <c r="R21" s="493">
        <f>+'[3]Ad Valorem Taxes'!N20</f>
        <v>4.04</v>
      </c>
      <c r="S21" s="493">
        <f>+'[3]Ad Valorem Taxes'!O20</f>
        <v>9.64</v>
      </c>
      <c r="T21" s="495">
        <f>+'[3]Ad Valorem Taxes'!P20</f>
        <v>2</v>
      </c>
      <c r="U21" s="469">
        <f>+'[3]Ad Valorem Taxes'!Q20</f>
        <v>115738</v>
      </c>
      <c r="V21" s="35">
        <f t="shared" si="13"/>
        <v>115738</v>
      </c>
      <c r="W21" s="59">
        <f t="shared" si="1"/>
        <v>18.51</v>
      </c>
      <c r="X21" s="35">
        <f t="shared" si="2"/>
        <v>1162696</v>
      </c>
      <c r="Y21" s="35">
        <f t="shared" si="3"/>
        <v>545422</v>
      </c>
      <c r="Z21" s="231">
        <f t="shared" si="4"/>
        <v>1.799</v>
      </c>
      <c r="AA21" s="231">
        <f t="shared" si="5"/>
        <v>24.748</v>
      </c>
      <c r="AB21" s="600">
        <f t="shared" si="6"/>
        <v>26.547</v>
      </c>
      <c r="AC21" s="606">
        <f t="shared" si="7"/>
        <v>1708118</v>
      </c>
      <c r="AD21" s="501">
        <f>+'[3]Sales Taxes'!C21</f>
        <v>0.02</v>
      </c>
      <c r="AE21" s="489">
        <f>+'[3]Sales Taxes'!D21</f>
        <v>2494549</v>
      </c>
      <c r="AF21" s="592">
        <f>+'[3]Sales Taxes'!E21</f>
        <v>0</v>
      </c>
      <c r="AG21" s="597">
        <f t="shared" si="8"/>
        <v>2494549</v>
      </c>
      <c r="AH21" s="595">
        <f t="shared" si="15"/>
        <v>124727450</v>
      </c>
      <c r="AI21" s="39">
        <f t="shared" si="10"/>
        <v>0.02</v>
      </c>
      <c r="AJ21" s="39">
        <f t="shared" si="11"/>
        <v>0</v>
      </c>
      <c r="AK21" s="752">
        <f>+'[3]Other Revenue'!N21</f>
        <v>174260.5</v>
      </c>
      <c r="AL21" s="505">
        <f t="shared" si="14"/>
        <v>4376927.5</v>
      </c>
    </row>
    <row r="22" spans="1:38" ht="12.75">
      <c r="A22" s="47">
        <v>15</v>
      </c>
      <c r="B22" s="406" t="s">
        <v>20</v>
      </c>
      <c r="C22" s="402"/>
      <c r="D22" s="472">
        <f>+'[3]2000 Property Assessments'!C20</f>
        <v>95701490</v>
      </c>
      <c r="E22" s="588">
        <f>+'[3]2000 Property Assessments'!D20</f>
        <v>22647390</v>
      </c>
      <c r="F22" s="49">
        <f t="shared" si="0"/>
        <v>73054100</v>
      </c>
      <c r="G22" s="746">
        <f>+'[3]Ad Valorem Taxes'!C21</f>
        <v>3.08</v>
      </c>
      <c r="H22" s="472">
        <f>+'[3]Ad Valorem Taxes'!D21</f>
        <v>1222711</v>
      </c>
      <c r="I22" s="497">
        <f>+'[3]Ad Valorem Taxes'!E21</f>
        <v>24.43</v>
      </c>
      <c r="J22" s="472">
        <f>+'[3]Ad Valorem Taxes'!F21</f>
        <v>2386540</v>
      </c>
      <c r="K22" s="496">
        <f>+'[3]Ad Valorem Taxes'!G21</f>
        <v>0</v>
      </c>
      <c r="L22" s="496">
        <f>+'[3]Ad Valorem Taxes'!H21</f>
        <v>0</v>
      </c>
      <c r="M22" s="496">
        <f>+'[3]Ad Valorem Taxes'!I21</f>
        <v>0</v>
      </c>
      <c r="N22" s="472">
        <f>+'[3]Ad Valorem Taxes'!J21</f>
        <v>0</v>
      </c>
      <c r="O22" s="49">
        <f t="shared" si="12"/>
        <v>3609251</v>
      </c>
      <c r="P22" s="496">
        <f>+'[3]Ad Valorem Taxes'!L21</f>
        <v>0</v>
      </c>
      <c r="Q22" s="472">
        <f>+'[3]Ad Valorem Taxes'!M21</f>
        <v>0</v>
      </c>
      <c r="R22" s="496">
        <f>+'[3]Ad Valorem Taxes'!N21</f>
        <v>0</v>
      </c>
      <c r="S22" s="496">
        <f>+'[3]Ad Valorem Taxes'!O21</f>
        <v>0</v>
      </c>
      <c r="T22" s="498">
        <f>+'[3]Ad Valorem Taxes'!P21</f>
        <v>0</v>
      </c>
      <c r="U22" s="472">
        <f>+'[3]Ad Valorem Taxes'!Q21</f>
        <v>0</v>
      </c>
      <c r="V22" s="49">
        <f t="shared" si="13"/>
        <v>0</v>
      </c>
      <c r="W22" s="60">
        <f t="shared" si="1"/>
        <v>27.509999999999998</v>
      </c>
      <c r="X22" s="49">
        <f t="shared" si="2"/>
        <v>3609251</v>
      </c>
      <c r="Y22" s="49">
        <f t="shared" si="3"/>
        <v>0</v>
      </c>
      <c r="Z22" s="232">
        <f t="shared" si="4"/>
        <v>0</v>
      </c>
      <c r="AA22" s="232">
        <f t="shared" si="5"/>
        <v>49.405</v>
      </c>
      <c r="AB22" s="601">
        <f t="shared" si="6"/>
        <v>49.405</v>
      </c>
      <c r="AC22" s="607">
        <f t="shared" si="7"/>
        <v>3609251</v>
      </c>
      <c r="AD22" s="502">
        <f>+'[3]Sales Taxes'!C22</f>
        <v>0.02</v>
      </c>
      <c r="AE22" s="490">
        <f>+'[3]Sales Taxes'!D22</f>
        <v>3100950</v>
      </c>
      <c r="AF22" s="593">
        <f>+'[3]Sales Taxes'!E22</f>
        <v>0</v>
      </c>
      <c r="AG22" s="598">
        <f t="shared" si="8"/>
        <v>3100950</v>
      </c>
      <c r="AH22" s="596">
        <f t="shared" si="15"/>
        <v>155047500</v>
      </c>
      <c r="AI22" s="52">
        <f t="shared" si="10"/>
        <v>0.02</v>
      </c>
      <c r="AJ22" s="52">
        <f t="shared" si="11"/>
        <v>0</v>
      </c>
      <c r="AK22" s="755">
        <f>+'[3]Other Revenue'!N22</f>
        <v>175240.5</v>
      </c>
      <c r="AL22" s="584">
        <f t="shared" si="14"/>
        <v>6885441.5</v>
      </c>
    </row>
    <row r="23" spans="1:38" ht="12.75">
      <c r="A23" s="33">
        <v>16</v>
      </c>
      <c r="B23" s="405" t="s">
        <v>21</v>
      </c>
      <c r="C23" s="401"/>
      <c r="D23" s="469">
        <f>+'[3]2000 Property Assessments'!C21</f>
        <v>197415372</v>
      </c>
      <c r="E23" s="587">
        <f>+'[3]2000 Property Assessments'!D21</f>
        <v>28493946</v>
      </c>
      <c r="F23" s="35">
        <f t="shared" si="0"/>
        <v>168921426</v>
      </c>
      <c r="G23" s="745">
        <f>+'[3]Ad Valorem Taxes'!C22</f>
        <v>4.49</v>
      </c>
      <c r="H23" s="469">
        <f>+'[3]Ad Valorem Taxes'!D22</f>
        <v>752326</v>
      </c>
      <c r="I23" s="494">
        <f>+'[3]Ad Valorem Taxes'!E22</f>
        <v>43.07</v>
      </c>
      <c r="J23" s="469">
        <f>+'[3]Ad Valorem Taxes'!F22</f>
        <v>7215610</v>
      </c>
      <c r="K23" s="493">
        <f>+'[3]Ad Valorem Taxes'!G22</f>
        <v>0</v>
      </c>
      <c r="L23" s="493">
        <f>+'[3]Ad Valorem Taxes'!H22</f>
        <v>0</v>
      </c>
      <c r="M23" s="493">
        <f>+'[3]Ad Valorem Taxes'!I22</f>
        <v>0</v>
      </c>
      <c r="N23" s="469">
        <f>+'[3]Ad Valorem Taxes'!J22</f>
        <v>0</v>
      </c>
      <c r="O23" s="35">
        <f t="shared" si="12"/>
        <v>7967936</v>
      </c>
      <c r="P23" s="493">
        <f>+'[3]Ad Valorem Taxes'!L22</f>
        <v>0</v>
      </c>
      <c r="Q23" s="469">
        <f>+'[3]Ad Valorem Taxes'!M22</f>
        <v>0</v>
      </c>
      <c r="R23" s="493">
        <f>+'[3]Ad Valorem Taxes'!N22</f>
        <v>9</v>
      </c>
      <c r="S23" s="493">
        <f>+'[3]Ad Valorem Taxes'!O22</f>
        <v>35</v>
      </c>
      <c r="T23" s="495">
        <f>+'[3]Ad Valorem Taxes'!P22</f>
        <v>5</v>
      </c>
      <c r="U23" s="469">
        <f>+'[3]Ad Valorem Taxes'!Q22</f>
        <v>1883090</v>
      </c>
      <c r="V23" s="35">
        <f t="shared" si="13"/>
        <v>1883090</v>
      </c>
      <c r="W23" s="59">
        <f t="shared" si="1"/>
        <v>47.56</v>
      </c>
      <c r="X23" s="35">
        <f t="shared" si="2"/>
        <v>7967936</v>
      </c>
      <c r="Y23" s="35">
        <f t="shared" si="3"/>
        <v>1883090</v>
      </c>
      <c r="Z23" s="231">
        <f t="shared" si="4"/>
        <v>11.148</v>
      </c>
      <c r="AA23" s="231">
        <f t="shared" si="5"/>
        <v>47.169</v>
      </c>
      <c r="AB23" s="600">
        <f t="shared" si="6"/>
        <v>58.317</v>
      </c>
      <c r="AC23" s="606">
        <f t="shared" si="7"/>
        <v>9851026</v>
      </c>
      <c r="AD23" s="501">
        <f>+'[3]Sales Taxes'!C23</f>
        <v>0.02</v>
      </c>
      <c r="AE23" s="489">
        <f>+'[3]Sales Taxes'!D23</f>
        <v>3934651</v>
      </c>
      <c r="AF23" s="592">
        <f>+'[3]Sales Taxes'!E23</f>
        <v>1020424</v>
      </c>
      <c r="AG23" s="597">
        <f t="shared" si="8"/>
        <v>4955075</v>
      </c>
      <c r="AH23" s="595">
        <f t="shared" si="15"/>
        <v>247753750</v>
      </c>
      <c r="AI23" s="39">
        <f t="shared" si="10"/>
        <v>0.0159</v>
      </c>
      <c r="AJ23" s="39">
        <f t="shared" si="11"/>
        <v>0.0041</v>
      </c>
      <c r="AK23" s="752">
        <f>+'[3]Other Revenue'!N23</f>
        <v>323862</v>
      </c>
      <c r="AL23" s="505">
        <f t="shared" si="14"/>
        <v>15129963</v>
      </c>
    </row>
    <row r="24" spans="1:38" ht="12.75">
      <c r="A24" s="33">
        <v>17</v>
      </c>
      <c r="B24" s="405" t="s">
        <v>22</v>
      </c>
      <c r="C24" s="401"/>
      <c r="D24" s="469">
        <f>+'[3]2000 Property Assessments'!C22</f>
        <v>2324089310</v>
      </c>
      <c r="E24" s="587">
        <f>+'[3]2000 Property Assessments'!D22</f>
        <v>557463500</v>
      </c>
      <c r="F24" s="35">
        <f t="shared" si="0"/>
        <v>1766625810</v>
      </c>
      <c r="G24" s="745">
        <f>+'[3]Ad Valorem Taxes'!C23</f>
        <v>5.25</v>
      </c>
      <c r="H24" s="469">
        <f>+'[3]Ad Valorem Taxes'!D23</f>
        <v>9091617</v>
      </c>
      <c r="I24" s="494">
        <f>+'[3]Ad Valorem Taxes'!E23</f>
        <v>38.2</v>
      </c>
      <c r="J24" s="469">
        <f>+'[3]Ad Valorem Taxes'!F23</f>
        <v>66153044</v>
      </c>
      <c r="K24" s="493">
        <f>+'[3]Ad Valorem Taxes'!G23</f>
        <v>0</v>
      </c>
      <c r="L24" s="493">
        <f>+'[3]Ad Valorem Taxes'!H23</f>
        <v>0</v>
      </c>
      <c r="M24" s="493">
        <f>+'[3]Ad Valorem Taxes'!I23</f>
        <v>0</v>
      </c>
      <c r="N24" s="469">
        <f>+'[3]Ad Valorem Taxes'!J23</f>
        <v>0</v>
      </c>
      <c r="O24" s="35">
        <f t="shared" si="12"/>
        <v>75244661</v>
      </c>
      <c r="P24" s="493">
        <f>+'[3]Ad Valorem Taxes'!L23</f>
        <v>0</v>
      </c>
      <c r="Q24" s="469">
        <f>+'[3]Ad Valorem Taxes'!M23</f>
        <v>0</v>
      </c>
      <c r="R24" s="493">
        <f>+'[3]Ad Valorem Taxes'!N23</f>
        <v>0</v>
      </c>
      <c r="S24" s="493">
        <f>+'[3]Ad Valorem Taxes'!O23</f>
        <v>0</v>
      </c>
      <c r="T24" s="495">
        <f>+'[3]Ad Valorem Taxes'!P23</f>
        <v>0</v>
      </c>
      <c r="U24" s="469">
        <f>+'[3]Ad Valorem Taxes'!Q23</f>
        <v>0</v>
      </c>
      <c r="V24" s="35">
        <f t="shared" si="13"/>
        <v>0</v>
      </c>
      <c r="W24" s="59">
        <f t="shared" si="1"/>
        <v>43.45</v>
      </c>
      <c r="X24" s="35">
        <f t="shared" si="2"/>
        <v>75244661</v>
      </c>
      <c r="Y24" s="35">
        <f t="shared" si="3"/>
        <v>0</v>
      </c>
      <c r="Z24" s="231">
        <f t="shared" si="4"/>
        <v>0</v>
      </c>
      <c r="AA24" s="231">
        <f t="shared" si="5"/>
        <v>42.592</v>
      </c>
      <c r="AB24" s="600">
        <f t="shared" si="6"/>
        <v>42.592</v>
      </c>
      <c r="AC24" s="606">
        <f t="shared" si="7"/>
        <v>75244661</v>
      </c>
      <c r="AD24" s="501">
        <f>+'[3]Sales Taxes'!C24</f>
        <v>0.02</v>
      </c>
      <c r="AE24" s="489">
        <f>+'[3]Sales Taxes'!D24</f>
        <v>122942143</v>
      </c>
      <c r="AF24" s="592">
        <f>+'[3]Sales Taxes'!E24</f>
        <v>0</v>
      </c>
      <c r="AG24" s="597">
        <f t="shared" si="8"/>
        <v>122942143</v>
      </c>
      <c r="AH24" s="595">
        <f t="shared" si="15"/>
        <v>6147107150</v>
      </c>
      <c r="AI24" s="39">
        <f t="shared" si="10"/>
        <v>0.02</v>
      </c>
      <c r="AJ24" s="39">
        <f t="shared" si="11"/>
        <v>0</v>
      </c>
      <c r="AK24" s="752">
        <f>+'[3]Other Revenue'!N24</f>
        <v>3901160</v>
      </c>
      <c r="AL24" s="505">
        <f t="shared" si="14"/>
        <v>202087964</v>
      </c>
    </row>
    <row r="25" spans="1:38" ht="12.75">
      <c r="A25" s="33">
        <v>18</v>
      </c>
      <c r="B25" s="405" t="s">
        <v>23</v>
      </c>
      <c r="C25" s="401"/>
      <c r="D25" s="469">
        <f>+'[3]2000 Property Assessments'!C23</f>
        <v>32621786</v>
      </c>
      <c r="E25" s="587">
        <f>+'[3]2000 Property Assessments'!D23</f>
        <v>5748135</v>
      </c>
      <c r="F25" s="35">
        <f t="shared" si="0"/>
        <v>26873651</v>
      </c>
      <c r="G25" s="745">
        <f>+'[3]Ad Valorem Taxes'!C24</f>
        <v>5.79</v>
      </c>
      <c r="H25" s="469">
        <f>+'[3]Ad Valorem Taxes'!D24</f>
        <v>138395</v>
      </c>
      <c r="I25" s="494">
        <f>+'[3]Ad Valorem Taxes'!E24</f>
        <v>6.01</v>
      </c>
      <c r="J25" s="469">
        <f>+'[3]Ad Valorem Taxes'!F24</f>
        <v>143869</v>
      </c>
      <c r="K25" s="493">
        <f>+'[3]Ad Valorem Taxes'!G24</f>
        <v>0</v>
      </c>
      <c r="L25" s="493">
        <f>+'[3]Ad Valorem Taxes'!H24</f>
        <v>0</v>
      </c>
      <c r="M25" s="493">
        <f>+'[3]Ad Valorem Taxes'!I24</f>
        <v>0</v>
      </c>
      <c r="N25" s="469">
        <f>+'[3]Ad Valorem Taxes'!J24</f>
        <v>0</v>
      </c>
      <c r="O25" s="35">
        <f t="shared" si="12"/>
        <v>282264</v>
      </c>
      <c r="P25" s="493">
        <f>+'[3]Ad Valorem Taxes'!L24</f>
        <v>0</v>
      </c>
      <c r="Q25" s="469">
        <f>+'[3]Ad Valorem Taxes'!M24</f>
        <v>0</v>
      </c>
      <c r="R25" s="493">
        <f>+'[3]Ad Valorem Taxes'!N24</f>
        <v>0</v>
      </c>
      <c r="S25" s="493">
        <f>+'[3]Ad Valorem Taxes'!O24</f>
        <v>0</v>
      </c>
      <c r="T25" s="495">
        <f>+'[3]Ad Valorem Taxes'!P24</f>
        <v>0</v>
      </c>
      <c r="U25" s="469">
        <f>+'[3]Ad Valorem Taxes'!Q24</f>
        <v>0</v>
      </c>
      <c r="V25" s="35">
        <f t="shared" si="13"/>
        <v>0</v>
      </c>
      <c r="W25" s="59">
        <f t="shared" si="1"/>
        <v>11.8</v>
      </c>
      <c r="X25" s="35">
        <f t="shared" si="2"/>
        <v>282264</v>
      </c>
      <c r="Y25" s="35">
        <f t="shared" si="3"/>
        <v>0</v>
      </c>
      <c r="Z25" s="231">
        <f t="shared" si="4"/>
        <v>0</v>
      </c>
      <c r="AA25" s="231">
        <f t="shared" si="5"/>
        <v>10.503</v>
      </c>
      <c r="AB25" s="600">
        <f t="shared" si="6"/>
        <v>10.503</v>
      </c>
      <c r="AC25" s="606">
        <f t="shared" si="7"/>
        <v>282264</v>
      </c>
      <c r="AD25" s="501">
        <f>+'[3]Sales Taxes'!C25</f>
        <v>0.03</v>
      </c>
      <c r="AE25" s="489">
        <f>+'[3]Sales Taxes'!D25</f>
        <v>1478531</v>
      </c>
      <c r="AF25" s="592">
        <f>+'[3]Sales Taxes'!E25</f>
        <v>0</v>
      </c>
      <c r="AG25" s="597">
        <f t="shared" si="8"/>
        <v>1478531</v>
      </c>
      <c r="AH25" s="595">
        <f t="shared" si="15"/>
        <v>49284367</v>
      </c>
      <c r="AI25" s="39">
        <f t="shared" si="10"/>
        <v>0.03</v>
      </c>
      <c r="AJ25" s="39">
        <f t="shared" si="11"/>
        <v>0</v>
      </c>
      <c r="AK25" s="752">
        <f>+'[3]Other Revenue'!N25</f>
        <v>76134.5</v>
      </c>
      <c r="AL25" s="505">
        <f t="shared" si="14"/>
        <v>1836929.5</v>
      </c>
    </row>
    <row r="26" spans="1:38" ht="12.75">
      <c r="A26" s="33">
        <v>19</v>
      </c>
      <c r="B26" s="405" t="s">
        <v>24</v>
      </c>
      <c r="C26" s="401"/>
      <c r="D26" s="469">
        <f>+'[3]2000 Property Assessments'!C24</f>
        <v>79803420</v>
      </c>
      <c r="E26" s="587">
        <f>+'[3]2000 Property Assessments'!D24</f>
        <v>25113990</v>
      </c>
      <c r="F26" s="35">
        <f t="shared" si="0"/>
        <v>54689430</v>
      </c>
      <c r="G26" s="745">
        <f>+'[3]Ad Valorem Taxes'!C25</f>
        <v>3.34</v>
      </c>
      <c r="H26" s="469">
        <f>+'[3]Ad Valorem Taxes'!D25</f>
        <v>162538</v>
      </c>
      <c r="I26" s="494">
        <f>+'[3]Ad Valorem Taxes'!E25</f>
        <v>15.51</v>
      </c>
      <c r="J26" s="469">
        <f>+'[3]Ad Valorem Taxes'!F25</f>
        <v>754778</v>
      </c>
      <c r="K26" s="493">
        <f>+'[3]Ad Valorem Taxes'!G25</f>
        <v>0</v>
      </c>
      <c r="L26" s="493">
        <f>+'[3]Ad Valorem Taxes'!H25</f>
        <v>0</v>
      </c>
      <c r="M26" s="493">
        <f>+'[3]Ad Valorem Taxes'!I25</f>
        <v>0</v>
      </c>
      <c r="N26" s="469">
        <f>+'[3]Ad Valorem Taxes'!J25</f>
        <v>0</v>
      </c>
      <c r="O26" s="35">
        <f t="shared" si="12"/>
        <v>917316</v>
      </c>
      <c r="P26" s="493">
        <f>+'[3]Ad Valorem Taxes'!L25</f>
        <v>17.61</v>
      </c>
      <c r="Q26" s="469">
        <f>+'[3]Ad Valorem Taxes'!M25</f>
        <v>857269</v>
      </c>
      <c r="R26" s="493">
        <f>+'[3]Ad Valorem Taxes'!N25</f>
        <v>0</v>
      </c>
      <c r="S26" s="493">
        <f>+'[3]Ad Valorem Taxes'!O25</f>
        <v>0</v>
      </c>
      <c r="T26" s="495">
        <f>+'[3]Ad Valorem Taxes'!P25</f>
        <v>0</v>
      </c>
      <c r="U26" s="469">
        <f>+'[3]Ad Valorem Taxes'!Q25</f>
        <v>0</v>
      </c>
      <c r="V26" s="35">
        <f t="shared" si="13"/>
        <v>857269</v>
      </c>
      <c r="W26" s="59">
        <f t="shared" si="1"/>
        <v>36.46</v>
      </c>
      <c r="X26" s="35">
        <f t="shared" si="2"/>
        <v>1774585</v>
      </c>
      <c r="Y26" s="35">
        <f t="shared" si="3"/>
        <v>0</v>
      </c>
      <c r="Z26" s="231">
        <f t="shared" si="4"/>
        <v>15.675</v>
      </c>
      <c r="AA26" s="231">
        <f t="shared" si="5"/>
        <v>16.773</v>
      </c>
      <c r="AB26" s="600">
        <f t="shared" si="6"/>
        <v>32.448</v>
      </c>
      <c r="AC26" s="606">
        <f t="shared" si="7"/>
        <v>1774585</v>
      </c>
      <c r="AD26" s="501">
        <f>+'[3]Sales Taxes'!C26</f>
        <v>0.02</v>
      </c>
      <c r="AE26" s="489">
        <f>+'[3]Sales Taxes'!D26</f>
        <v>1122495</v>
      </c>
      <c r="AF26" s="592">
        <f>+'[3]Sales Taxes'!E26</f>
        <v>1119791</v>
      </c>
      <c r="AG26" s="597">
        <f t="shared" si="8"/>
        <v>2242286</v>
      </c>
      <c r="AH26" s="595">
        <f t="shared" si="15"/>
        <v>112114300</v>
      </c>
      <c r="AI26" s="39">
        <f t="shared" si="10"/>
        <v>0.01</v>
      </c>
      <c r="AJ26" s="39">
        <f t="shared" si="11"/>
        <v>0.01</v>
      </c>
      <c r="AK26" s="752">
        <f>+'[3]Other Revenue'!N26</f>
        <v>79375.5</v>
      </c>
      <c r="AL26" s="505">
        <f t="shared" si="14"/>
        <v>4096246.5</v>
      </c>
    </row>
    <row r="27" spans="1:38" ht="12.75">
      <c r="A27" s="47">
        <v>20</v>
      </c>
      <c r="B27" s="406" t="s">
        <v>25</v>
      </c>
      <c r="C27" s="402"/>
      <c r="D27" s="472">
        <f>+'[3]2000 Property Assessments'!C25</f>
        <v>137998310</v>
      </c>
      <c r="E27" s="588">
        <f>+'[3]2000 Property Assessments'!D25</f>
        <v>34953700</v>
      </c>
      <c r="F27" s="49">
        <f t="shared" si="0"/>
        <v>103044610</v>
      </c>
      <c r="G27" s="746">
        <f>+'[3]Ad Valorem Taxes'!C26</f>
        <v>4.56</v>
      </c>
      <c r="H27" s="472">
        <f>+'[3]Ad Valorem Taxes'!D26</f>
        <v>453768</v>
      </c>
      <c r="I27" s="497">
        <f>+'[3]Ad Valorem Taxes'!E26</f>
        <v>10.15</v>
      </c>
      <c r="J27" s="472">
        <f>+'[3]Ad Valorem Taxes'!F26</f>
        <v>1009914</v>
      </c>
      <c r="K27" s="496">
        <f>+'[3]Ad Valorem Taxes'!G26</f>
        <v>2.08</v>
      </c>
      <c r="L27" s="496">
        <f>+'[3]Ad Valorem Taxes'!H26</f>
        <v>12.22</v>
      </c>
      <c r="M27" s="496">
        <f>+'[3]Ad Valorem Taxes'!I26</f>
        <v>3</v>
      </c>
      <c r="N27" s="472">
        <f>+'[3]Ad Valorem Taxes'!J26</f>
        <v>1360563</v>
      </c>
      <c r="O27" s="49">
        <f t="shared" si="12"/>
        <v>2824245</v>
      </c>
      <c r="P27" s="496">
        <f>+'[3]Ad Valorem Taxes'!L26</f>
        <v>0</v>
      </c>
      <c r="Q27" s="472">
        <f>+'[3]Ad Valorem Taxes'!M26</f>
        <v>0</v>
      </c>
      <c r="R27" s="496">
        <f>+'[3]Ad Valorem Taxes'!N26</f>
        <v>7</v>
      </c>
      <c r="S27" s="496">
        <f>+'[3]Ad Valorem Taxes'!O26</f>
        <v>16.25</v>
      </c>
      <c r="T27" s="498">
        <f>+'[3]Ad Valorem Taxes'!P26</f>
        <v>2</v>
      </c>
      <c r="U27" s="472">
        <f>+'[3]Ad Valorem Taxes'!Q26</f>
        <v>332612</v>
      </c>
      <c r="V27" s="49">
        <f t="shared" si="13"/>
        <v>332612</v>
      </c>
      <c r="W27" s="60">
        <f t="shared" si="1"/>
        <v>14.71</v>
      </c>
      <c r="X27" s="49">
        <f t="shared" si="2"/>
        <v>1463682</v>
      </c>
      <c r="Y27" s="49">
        <f t="shared" si="3"/>
        <v>1693175</v>
      </c>
      <c r="Z27" s="232">
        <f t="shared" si="4"/>
        <v>3.228</v>
      </c>
      <c r="AA27" s="232">
        <f t="shared" si="5"/>
        <v>27.408</v>
      </c>
      <c r="AB27" s="601">
        <f t="shared" si="6"/>
        <v>30.636</v>
      </c>
      <c r="AC27" s="607">
        <f t="shared" si="7"/>
        <v>3156857</v>
      </c>
      <c r="AD27" s="502">
        <f>+'[3]Sales Taxes'!C27</f>
        <v>0.01</v>
      </c>
      <c r="AE27" s="490">
        <f>+'[3]Sales Taxes'!D27</f>
        <v>2419130</v>
      </c>
      <c r="AF27" s="593">
        <f>+'[3]Sales Taxes'!E27</f>
        <v>0</v>
      </c>
      <c r="AG27" s="598">
        <f t="shared" si="8"/>
        <v>2419130</v>
      </c>
      <c r="AH27" s="596">
        <f t="shared" si="15"/>
        <v>241913000</v>
      </c>
      <c r="AI27" s="52">
        <f t="shared" si="10"/>
        <v>0.01</v>
      </c>
      <c r="AJ27" s="52">
        <f t="shared" si="11"/>
        <v>0</v>
      </c>
      <c r="AK27" s="755">
        <f>+'[3]Other Revenue'!N27</f>
        <v>234613.5</v>
      </c>
      <c r="AL27" s="584">
        <f t="shared" si="14"/>
        <v>5810600.5</v>
      </c>
    </row>
    <row r="28" spans="1:38" ht="12.75">
      <c r="A28" s="33">
        <v>21</v>
      </c>
      <c r="B28" s="405" t="s">
        <v>26</v>
      </c>
      <c r="C28" s="401"/>
      <c r="D28" s="469">
        <f>+'[3]2000 Property Assessments'!C26</f>
        <v>62418604</v>
      </c>
      <c r="E28" s="587">
        <f>+'[3]2000 Property Assessments'!D26</f>
        <v>21630100</v>
      </c>
      <c r="F28" s="35">
        <f t="shared" si="0"/>
        <v>40788504</v>
      </c>
      <c r="G28" s="745">
        <f>+'[3]Ad Valorem Taxes'!C27</f>
        <v>4.31</v>
      </c>
      <c r="H28" s="469">
        <f>+'[3]Ad Valorem Taxes'!D27</f>
        <v>166256</v>
      </c>
      <c r="I28" s="494">
        <f>+'[3]Ad Valorem Taxes'!E27</f>
        <v>9.49</v>
      </c>
      <c r="J28" s="469">
        <f>+'[3]Ad Valorem Taxes'!F27</f>
        <v>365886</v>
      </c>
      <c r="K28" s="493">
        <f>+'[3]Ad Valorem Taxes'!G27</f>
        <v>0</v>
      </c>
      <c r="L28" s="493">
        <f>+'[3]Ad Valorem Taxes'!H27</f>
        <v>0</v>
      </c>
      <c r="M28" s="493">
        <f>+'[3]Ad Valorem Taxes'!I27</f>
        <v>1</v>
      </c>
      <c r="N28" s="469">
        <f>+'[3]Ad Valorem Taxes'!J27</f>
        <v>18579</v>
      </c>
      <c r="O28" s="35">
        <f t="shared" si="12"/>
        <v>550721</v>
      </c>
      <c r="P28" s="493">
        <f>+'[3]Ad Valorem Taxes'!L27</f>
        <v>0</v>
      </c>
      <c r="Q28" s="469">
        <f>+'[3]Ad Valorem Taxes'!M27</f>
        <v>0</v>
      </c>
      <c r="R28" s="493">
        <f>+'[3]Ad Valorem Taxes'!N27</f>
        <v>0</v>
      </c>
      <c r="S28" s="493">
        <f>+'[3]Ad Valorem Taxes'!O27</f>
        <v>0</v>
      </c>
      <c r="T28" s="495">
        <f>+'[3]Ad Valorem Taxes'!P27</f>
        <v>0</v>
      </c>
      <c r="U28" s="469">
        <f>+'[3]Ad Valorem Taxes'!Q27</f>
        <v>0</v>
      </c>
      <c r="V28" s="35">
        <f t="shared" si="13"/>
        <v>0</v>
      </c>
      <c r="W28" s="59">
        <f t="shared" si="1"/>
        <v>13.8</v>
      </c>
      <c r="X28" s="35">
        <f t="shared" si="2"/>
        <v>532142</v>
      </c>
      <c r="Y28" s="35">
        <f t="shared" si="3"/>
        <v>18579</v>
      </c>
      <c r="Z28" s="231">
        <f t="shared" si="4"/>
        <v>0</v>
      </c>
      <c r="AA28" s="231">
        <f t="shared" si="5"/>
        <v>13.502</v>
      </c>
      <c r="AB28" s="600">
        <f t="shared" si="6"/>
        <v>13.502</v>
      </c>
      <c r="AC28" s="606">
        <f t="shared" si="7"/>
        <v>550721</v>
      </c>
      <c r="AD28" s="501">
        <f>+'[3]Sales Taxes'!C28</f>
        <v>0.015</v>
      </c>
      <c r="AE28" s="489">
        <f>+'[3]Sales Taxes'!D28</f>
        <v>2598424</v>
      </c>
      <c r="AF28" s="592">
        <f>+'[3]Sales Taxes'!E28</f>
        <v>0</v>
      </c>
      <c r="AG28" s="597">
        <f t="shared" si="8"/>
        <v>2598424</v>
      </c>
      <c r="AH28" s="595">
        <f t="shared" si="15"/>
        <v>173228267</v>
      </c>
      <c r="AI28" s="39">
        <f t="shared" si="10"/>
        <v>0.015</v>
      </c>
      <c r="AJ28" s="39">
        <f t="shared" si="11"/>
        <v>0</v>
      </c>
      <c r="AK28" s="752">
        <f>+'[3]Other Revenue'!N28</f>
        <v>178834</v>
      </c>
      <c r="AL28" s="505">
        <f t="shared" si="14"/>
        <v>3327979</v>
      </c>
    </row>
    <row r="29" spans="1:38" ht="12.75">
      <c r="A29" s="33">
        <v>22</v>
      </c>
      <c r="B29" s="405" t="s">
        <v>27</v>
      </c>
      <c r="C29" s="401"/>
      <c r="D29" s="469">
        <f>+'[3]2000 Property Assessments'!C27</f>
        <v>45910828</v>
      </c>
      <c r="E29" s="587">
        <f>+'[3]2000 Property Assessments'!D27</f>
        <v>18557556</v>
      </c>
      <c r="F29" s="35">
        <f t="shared" si="0"/>
        <v>27353272</v>
      </c>
      <c r="G29" s="745">
        <f>+'[3]Ad Valorem Taxes'!C28</f>
        <v>5.93</v>
      </c>
      <c r="H29" s="469">
        <f>+'[3]Ad Valorem Taxes'!D28</f>
        <v>162995</v>
      </c>
      <c r="I29" s="494">
        <f>+'[3]Ad Valorem Taxes'!E28</f>
        <v>24.12</v>
      </c>
      <c r="J29" s="469">
        <f>+'[3]Ad Valorem Taxes'!F28</f>
        <v>663071</v>
      </c>
      <c r="K29" s="493">
        <f>+'[3]Ad Valorem Taxes'!G28</f>
        <v>2.66</v>
      </c>
      <c r="L29" s="493">
        <f>+'[3]Ad Valorem Taxes'!H28</f>
        <v>16.12</v>
      </c>
      <c r="M29" s="493">
        <f>+'[3]Ad Valorem Taxes'!I28</f>
        <v>7</v>
      </c>
      <c r="N29" s="469">
        <f>+'[3]Ad Valorem Taxes'!J28</f>
        <v>239052</v>
      </c>
      <c r="O29" s="35">
        <f t="shared" si="12"/>
        <v>1065118</v>
      </c>
      <c r="P29" s="493">
        <f>+'[3]Ad Valorem Taxes'!L28</f>
        <v>0</v>
      </c>
      <c r="Q29" s="469">
        <f>+'[3]Ad Valorem Taxes'!M28</f>
        <v>0</v>
      </c>
      <c r="R29" s="493">
        <f>+'[3]Ad Valorem Taxes'!N28</f>
        <v>16</v>
      </c>
      <c r="S29" s="493">
        <f>+'[3]Ad Valorem Taxes'!O28</f>
        <v>32</v>
      </c>
      <c r="T29" s="495">
        <f>+'[3]Ad Valorem Taxes'!P28</f>
        <v>3</v>
      </c>
      <c r="U29" s="469">
        <f>+'[3]Ad Valorem Taxes'!Q28</f>
        <v>436839</v>
      </c>
      <c r="V29" s="35">
        <f t="shared" si="13"/>
        <v>436839</v>
      </c>
      <c r="W29" s="59">
        <f t="shared" si="1"/>
        <v>30.05</v>
      </c>
      <c r="X29" s="35">
        <f t="shared" si="2"/>
        <v>826066</v>
      </c>
      <c r="Y29" s="35">
        <f t="shared" si="3"/>
        <v>675891</v>
      </c>
      <c r="Z29" s="231">
        <f t="shared" si="4"/>
        <v>15.97</v>
      </c>
      <c r="AA29" s="231">
        <f t="shared" si="5"/>
        <v>38.939</v>
      </c>
      <c r="AB29" s="600">
        <f t="shared" si="6"/>
        <v>54.91</v>
      </c>
      <c r="AC29" s="606">
        <f t="shared" si="7"/>
        <v>1501957</v>
      </c>
      <c r="AD29" s="501">
        <f>+'[3]Sales Taxes'!C29</f>
        <v>0.01</v>
      </c>
      <c r="AE29" s="489">
        <f>+'[3]Sales Taxes'!D29</f>
        <v>761276</v>
      </c>
      <c r="AF29" s="592">
        <f>+'[3]Sales Taxes'!E29</f>
        <v>0</v>
      </c>
      <c r="AG29" s="597">
        <f t="shared" si="8"/>
        <v>761276</v>
      </c>
      <c r="AH29" s="595">
        <f t="shared" si="15"/>
        <v>76127600</v>
      </c>
      <c r="AI29" s="39">
        <f t="shared" si="10"/>
        <v>0.01</v>
      </c>
      <c r="AJ29" s="39">
        <f t="shared" si="11"/>
        <v>0</v>
      </c>
      <c r="AK29" s="752">
        <f>+'[3]Other Revenue'!N29</f>
        <v>363306.5</v>
      </c>
      <c r="AL29" s="505">
        <f t="shared" si="14"/>
        <v>2626539.5</v>
      </c>
    </row>
    <row r="30" spans="1:38" ht="12.75">
      <c r="A30" s="33">
        <v>23</v>
      </c>
      <c r="B30" s="405" t="s">
        <v>28</v>
      </c>
      <c r="C30" s="401"/>
      <c r="D30" s="469">
        <f>+'[3]2000 Property Assessments'!C28</f>
        <v>300849170</v>
      </c>
      <c r="E30" s="587">
        <f>+'[3]2000 Property Assessments'!D28</f>
        <v>83152703</v>
      </c>
      <c r="F30" s="35">
        <f t="shared" si="0"/>
        <v>217696467</v>
      </c>
      <c r="G30" s="745">
        <f>+'[3]Ad Valorem Taxes'!C29</f>
        <v>5.59</v>
      </c>
      <c r="H30" s="469">
        <f>+'[3]Ad Valorem Taxes'!D29</f>
        <v>1201742</v>
      </c>
      <c r="I30" s="494">
        <f>+'[3]Ad Valorem Taxes'!E29</f>
        <v>7.79</v>
      </c>
      <c r="J30" s="469">
        <f>+'[3]Ad Valorem Taxes'!F29</f>
        <v>1674812</v>
      </c>
      <c r="K30" s="493">
        <f>+'[3]Ad Valorem Taxes'!G29</f>
        <v>0</v>
      </c>
      <c r="L30" s="493">
        <f>+'[3]Ad Valorem Taxes'!H29</f>
        <v>0</v>
      </c>
      <c r="M30" s="493">
        <f>+'[3]Ad Valorem Taxes'!I29</f>
        <v>0</v>
      </c>
      <c r="N30" s="469">
        <f>+'[3]Ad Valorem Taxes'!J29</f>
        <v>0</v>
      </c>
      <c r="O30" s="35">
        <f t="shared" si="12"/>
        <v>2876554</v>
      </c>
      <c r="P30" s="493">
        <f>+'[3]Ad Valorem Taxes'!L29</f>
        <v>23.84</v>
      </c>
      <c r="Q30" s="469">
        <f>+'[3]Ad Valorem Taxes'!M29</f>
        <v>5079227</v>
      </c>
      <c r="R30" s="493">
        <f>+'[3]Ad Valorem Taxes'!N29</f>
        <v>0</v>
      </c>
      <c r="S30" s="493">
        <f>+'[3]Ad Valorem Taxes'!O29</f>
        <v>0</v>
      </c>
      <c r="T30" s="495">
        <f>+'[3]Ad Valorem Taxes'!P29</f>
        <v>0</v>
      </c>
      <c r="U30" s="469">
        <f>+'[3]Ad Valorem Taxes'!Q29</f>
        <v>0</v>
      </c>
      <c r="V30" s="35">
        <f t="shared" si="13"/>
        <v>5079227</v>
      </c>
      <c r="W30" s="59">
        <f t="shared" si="1"/>
        <v>37.22</v>
      </c>
      <c r="X30" s="35">
        <f t="shared" si="2"/>
        <v>7955781</v>
      </c>
      <c r="Y30" s="35">
        <f t="shared" si="3"/>
        <v>0</v>
      </c>
      <c r="Z30" s="231">
        <f t="shared" si="4"/>
        <v>23.332</v>
      </c>
      <c r="AA30" s="231">
        <f t="shared" si="5"/>
        <v>13.214</v>
      </c>
      <c r="AB30" s="600">
        <f t="shared" si="6"/>
        <v>36.545</v>
      </c>
      <c r="AC30" s="606">
        <f t="shared" si="7"/>
        <v>7955781</v>
      </c>
      <c r="AD30" s="501">
        <f>+'[3]Sales Taxes'!C30</f>
        <v>0.02</v>
      </c>
      <c r="AE30" s="489">
        <f>+'[3]Sales Taxes'!D30</f>
        <v>18640252</v>
      </c>
      <c r="AF30" s="592">
        <f>+'[3]Sales Taxes'!E30</f>
        <v>629433</v>
      </c>
      <c r="AG30" s="597">
        <f t="shared" si="8"/>
        <v>19269685</v>
      </c>
      <c r="AH30" s="595">
        <f t="shared" si="15"/>
        <v>963484250</v>
      </c>
      <c r="AI30" s="39">
        <f t="shared" si="10"/>
        <v>0.0193</v>
      </c>
      <c r="AJ30" s="39">
        <f t="shared" si="11"/>
        <v>0.0007</v>
      </c>
      <c r="AK30" s="752">
        <f>+'[3]Other Revenue'!N30</f>
        <v>645741</v>
      </c>
      <c r="AL30" s="505">
        <f t="shared" si="14"/>
        <v>27871207</v>
      </c>
    </row>
    <row r="31" spans="1:38" ht="12.75">
      <c r="A31" s="33">
        <v>24</v>
      </c>
      <c r="B31" s="405" t="s">
        <v>29</v>
      </c>
      <c r="C31" s="401"/>
      <c r="D31" s="469">
        <f>+'[3]2000 Property Assessments'!C29</f>
        <v>293987178</v>
      </c>
      <c r="E31" s="587">
        <f>+'[3]2000 Property Assessments'!D29</f>
        <v>37235350</v>
      </c>
      <c r="F31" s="35">
        <f t="shared" si="0"/>
        <v>256751828</v>
      </c>
      <c r="G31" s="745">
        <f>+'[3]Ad Valorem Taxes'!C30</f>
        <v>3.93</v>
      </c>
      <c r="H31" s="469">
        <f>+'[3]Ad Valorem Taxes'!D30</f>
        <v>991750</v>
      </c>
      <c r="I31" s="494">
        <f>+'[3]Ad Valorem Taxes'!E30</f>
        <v>24.34</v>
      </c>
      <c r="J31" s="469">
        <f>+'[3]Ad Valorem Taxes'!F30</f>
        <v>6141571</v>
      </c>
      <c r="K31" s="493">
        <f>+'[3]Ad Valorem Taxes'!G30</f>
        <v>0</v>
      </c>
      <c r="L31" s="493">
        <f>+'[3]Ad Valorem Taxes'!H30</f>
        <v>0</v>
      </c>
      <c r="M31" s="493">
        <f>+'[3]Ad Valorem Taxes'!I30</f>
        <v>0</v>
      </c>
      <c r="N31" s="469">
        <f>+'[3]Ad Valorem Taxes'!J30</f>
        <v>0</v>
      </c>
      <c r="O31" s="35">
        <f t="shared" si="12"/>
        <v>7133321</v>
      </c>
      <c r="P31" s="493">
        <f>+'[3]Ad Valorem Taxes'!L30</f>
        <v>12</v>
      </c>
      <c r="Q31" s="469">
        <f>+'[3]Ad Valorem Taxes'!M30</f>
        <v>3026603</v>
      </c>
      <c r="R31" s="493">
        <f>+'[3]Ad Valorem Taxes'!N30</f>
        <v>0</v>
      </c>
      <c r="S31" s="493">
        <f>+'[3]Ad Valorem Taxes'!O30</f>
        <v>0</v>
      </c>
      <c r="T31" s="495">
        <f>+'[3]Ad Valorem Taxes'!P30</f>
        <v>0</v>
      </c>
      <c r="U31" s="469">
        <f>+'[3]Ad Valorem Taxes'!Q30</f>
        <v>0</v>
      </c>
      <c r="V31" s="35">
        <f t="shared" si="13"/>
        <v>3026603</v>
      </c>
      <c r="W31" s="59">
        <f t="shared" si="1"/>
        <v>40.269999999999996</v>
      </c>
      <c r="X31" s="35">
        <f t="shared" si="2"/>
        <v>10159924</v>
      </c>
      <c r="Y31" s="35">
        <f t="shared" si="3"/>
        <v>0</v>
      </c>
      <c r="Z31" s="231">
        <f t="shared" si="4"/>
        <v>11.788</v>
      </c>
      <c r="AA31" s="231">
        <f t="shared" si="5"/>
        <v>27.783</v>
      </c>
      <c r="AB31" s="600">
        <f t="shared" si="6"/>
        <v>39.571</v>
      </c>
      <c r="AC31" s="606">
        <f t="shared" si="7"/>
        <v>10159924</v>
      </c>
      <c r="AD31" s="501">
        <f>+'[3]Sales Taxes'!C31</f>
        <v>0.0167</v>
      </c>
      <c r="AE31" s="489">
        <f>+'[3]Sales Taxes'!D31</f>
        <v>9375137</v>
      </c>
      <c r="AF31" s="592">
        <f>+'[3]Sales Taxes'!E31</f>
        <v>0</v>
      </c>
      <c r="AG31" s="597">
        <f t="shared" si="8"/>
        <v>9375137</v>
      </c>
      <c r="AH31" s="595">
        <f t="shared" si="15"/>
        <v>561385449</v>
      </c>
      <c r="AI31" s="39">
        <f t="shared" si="10"/>
        <v>0.0167</v>
      </c>
      <c r="AJ31" s="39">
        <f t="shared" si="11"/>
        <v>0</v>
      </c>
      <c r="AK31" s="752">
        <f>+'[3]Other Revenue'!N31</f>
        <v>179180</v>
      </c>
      <c r="AL31" s="505">
        <f t="shared" si="14"/>
        <v>19714241</v>
      </c>
    </row>
    <row r="32" spans="1:38" ht="12.75">
      <c r="A32" s="47">
        <v>25</v>
      </c>
      <c r="B32" s="406" t="s">
        <v>30</v>
      </c>
      <c r="C32" s="402"/>
      <c r="D32" s="472">
        <f>+'[3]2000 Property Assessments'!C30</f>
        <v>64585430</v>
      </c>
      <c r="E32" s="588">
        <f>+'[3]2000 Property Assessments'!D30</f>
        <v>14869430</v>
      </c>
      <c r="F32" s="49">
        <f t="shared" si="0"/>
        <v>49716000</v>
      </c>
      <c r="G32" s="746">
        <f>+'[3]Ad Valorem Taxes'!C31</f>
        <v>4.9</v>
      </c>
      <c r="H32" s="472">
        <f>+'[3]Ad Valorem Taxes'!D31</f>
        <v>291535</v>
      </c>
      <c r="I32" s="497">
        <f>+'[3]Ad Valorem Taxes'!E31</f>
        <v>13.7</v>
      </c>
      <c r="J32" s="472">
        <f>+'[3]Ad Valorem Taxes'!F31</f>
        <v>1021629</v>
      </c>
      <c r="K32" s="496">
        <f>+'[3]Ad Valorem Taxes'!G31</f>
        <v>0</v>
      </c>
      <c r="L32" s="496">
        <f>+'[3]Ad Valorem Taxes'!H31</f>
        <v>0</v>
      </c>
      <c r="M32" s="496">
        <f>+'[3]Ad Valorem Taxes'!I31</f>
        <v>0</v>
      </c>
      <c r="N32" s="472">
        <f>+'[3]Ad Valorem Taxes'!J31</f>
        <v>0</v>
      </c>
      <c r="O32" s="49">
        <f t="shared" si="12"/>
        <v>1313164</v>
      </c>
      <c r="P32" s="496">
        <f>+'[3]Ad Valorem Taxes'!L31</f>
        <v>0</v>
      </c>
      <c r="Q32" s="472">
        <f>+'[3]Ad Valorem Taxes'!M31</f>
        <v>0</v>
      </c>
      <c r="R32" s="496">
        <f>+'[3]Ad Valorem Taxes'!N31</f>
        <v>11</v>
      </c>
      <c r="S32" s="496">
        <f>+'[3]Ad Valorem Taxes'!O31</f>
        <v>26.5</v>
      </c>
      <c r="T32" s="498">
        <f>+'[3]Ad Valorem Taxes'!P31</f>
        <v>4</v>
      </c>
      <c r="U32" s="472">
        <f>+'[3]Ad Valorem Taxes'!Q31</f>
        <v>324562</v>
      </c>
      <c r="V32" s="49">
        <f t="shared" si="13"/>
        <v>324562</v>
      </c>
      <c r="W32" s="60">
        <f t="shared" si="1"/>
        <v>18.6</v>
      </c>
      <c r="X32" s="49">
        <f t="shared" si="2"/>
        <v>1313164</v>
      </c>
      <c r="Y32" s="49">
        <f t="shared" si="3"/>
        <v>324562</v>
      </c>
      <c r="Z32" s="232">
        <f t="shared" si="4"/>
        <v>6.528</v>
      </c>
      <c r="AA32" s="232">
        <f t="shared" si="5"/>
        <v>26.413</v>
      </c>
      <c r="AB32" s="601">
        <f t="shared" si="6"/>
        <v>32.942</v>
      </c>
      <c r="AC32" s="607">
        <f t="shared" si="7"/>
        <v>1637726</v>
      </c>
      <c r="AD32" s="502">
        <f>+'[3]Sales Taxes'!C32</f>
        <v>0.03</v>
      </c>
      <c r="AE32" s="490">
        <f>+'[3]Sales Taxes'!D32</f>
        <v>4369762</v>
      </c>
      <c r="AF32" s="593">
        <f>+'[3]Sales Taxes'!E32</f>
        <v>0</v>
      </c>
      <c r="AG32" s="598">
        <f t="shared" si="8"/>
        <v>4369762</v>
      </c>
      <c r="AH32" s="596">
        <f t="shared" si="15"/>
        <v>145658733</v>
      </c>
      <c r="AI32" s="52">
        <f t="shared" si="10"/>
        <v>0.03</v>
      </c>
      <c r="AJ32" s="52">
        <f t="shared" si="11"/>
        <v>0</v>
      </c>
      <c r="AK32" s="755">
        <f>+'[3]Other Revenue'!N32</f>
        <v>101670.5</v>
      </c>
      <c r="AL32" s="584">
        <f t="shared" si="14"/>
        <v>6109158.5</v>
      </c>
    </row>
    <row r="33" spans="1:38" ht="12.75">
      <c r="A33" s="33">
        <v>26</v>
      </c>
      <c r="B33" s="405" t="s">
        <v>31</v>
      </c>
      <c r="C33" s="401"/>
      <c r="D33" s="469">
        <f>+'[3]2000 Property Assessments'!C31</f>
        <v>2613660801</v>
      </c>
      <c r="E33" s="587">
        <f>+'[3]2000 Property Assessments'!D31</f>
        <v>749726810</v>
      </c>
      <c r="F33" s="35">
        <f t="shared" si="0"/>
        <v>1863933991</v>
      </c>
      <c r="G33" s="745">
        <f>+'[3]Ad Valorem Taxes'!C32</f>
        <v>2.6</v>
      </c>
      <c r="H33" s="469">
        <f>+'[3]Ad Valorem Taxes'!D32</f>
        <v>4718483</v>
      </c>
      <c r="I33" s="494">
        <f>+'[3]Ad Valorem Taxes'!E32</f>
        <v>9.84</v>
      </c>
      <c r="J33" s="469">
        <f>+'[3]Ad Valorem Taxes'!F32</f>
        <v>17827667</v>
      </c>
      <c r="K33" s="493">
        <f>+'[3]Ad Valorem Taxes'!G32</f>
        <v>0</v>
      </c>
      <c r="L33" s="493">
        <f>+'[3]Ad Valorem Taxes'!H32</f>
        <v>0</v>
      </c>
      <c r="M33" s="493">
        <f>+'[3]Ad Valorem Taxes'!I32</f>
        <v>0</v>
      </c>
      <c r="N33" s="469">
        <f>+'[3]Ad Valorem Taxes'!J32</f>
        <v>0</v>
      </c>
      <c r="O33" s="35">
        <f t="shared" si="12"/>
        <v>22546150</v>
      </c>
      <c r="P33" s="493">
        <f>+'[3]Ad Valorem Taxes'!L32</f>
        <v>0</v>
      </c>
      <c r="Q33" s="469">
        <f>+'[3]Ad Valorem Taxes'!M32</f>
        <v>33010</v>
      </c>
      <c r="R33" s="493">
        <f>+'[3]Ad Valorem Taxes'!N32</f>
        <v>0</v>
      </c>
      <c r="S33" s="493">
        <f>+'[3]Ad Valorem Taxes'!O32</f>
        <v>0</v>
      </c>
      <c r="T33" s="495">
        <f>+'[3]Ad Valorem Taxes'!P32</f>
        <v>0</v>
      </c>
      <c r="U33" s="469">
        <f>+'[3]Ad Valorem Taxes'!Q32</f>
        <v>0</v>
      </c>
      <c r="V33" s="35">
        <f t="shared" si="13"/>
        <v>33010</v>
      </c>
      <c r="W33" s="59">
        <f t="shared" si="1"/>
        <v>12.44</v>
      </c>
      <c r="X33" s="35">
        <f t="shared" si="2"/>
        <v>22579160</v>
      </c>
      <c r="Y33" s="35">
        <f t="shared" si="3"/>
        <v>0</v>
      </c>
      <c r="Z33" s="231">
        <f t="shared" si="4"/>
        <v>0.018</v>
      </c>
      <c r="AA33" s="231">
        <f t="shared" si="5"/>
        <v>12.096</v>
      </c>
      <c r="AB33" s="600">
        <f t="shared" si="6"/>
        <v>12.114</v>
      </c>
      <c r="AC33" s="606">
        <f t="shared" si="7"/>
        <v>22579160</v>
      </c>
      <c r="AD33" s="501">
        <f>+'[3]Sales Taxes'!C33</f>
        <v>0.02</v>
      </c>
      <c r="AE33" s="489">
        <f>+'[3]Sales Taxes'!D33</f>
        <v>142991663</v>
      </c>
      <c r="AF33" s="592">
        <f>+'[3]Sales Taxes'!E33</f>
        <v>0</v>
      </c>
      <c r="AG33" s="597">
        <f t="shared" si="8"/>
        <v>142991663</v>
      </c>
      <c r="AH33" s="595">
        <f t="shared" si="15"/>
        <v>7149583150</v>
      </c>
      <c r="AI33" s="39">
        <f t="shared" si="10"/>
        <v>0.02</v>
      </c>
      <c r="AJ33" s="39">
        <f t="shared" si="11"/>
        <v>0</v>
      </c>
      <c r="AK33" s="752">
        <f>+'[3]Other Revenue'!N33</f>
        <v>2033561.5</v>
      </c>
      <c r="AL33" s="505">
        <f t="shared" si="14"/>
        <v>167604384.5</v>
      </c>
    </row>
    <row r="34" spans="1:38" ht="12.75">
      <c r="A34" s="33">
        <v>27</v>
      </c>
      <c r="B34" s="405" t="s">
        <v>32</v>
      </c>
      <c r="C34" s="401"/>
      <c r="D34" s="469">
        <f>+'[3]2000 Property Assessments'!C32</f>
        <v>124288670</v>
      </c>
      <c r="E34" s="587">
        <f>+'[3]2000 Property Assessments'!D32</f>
        <v>31064835</v>
      </c>
      <c r="F34" s="35">
        <f t="shared" si="0"/>
        <v>93223835</v>
      </c>
      <c r="G34" s="745">
        <f>+'[3]Ad Valorem Taxes'!C33</f>
        <v>6.48</v>
      </c>
      <c r="H34" s="469">
        <f>+'[3]Ad Valorem Taxes'!D33</f>
        <v>570541</v>
      </c>
      <c r="I34" s="494">
        <f>+'[3]Ad Valorem Taxes'!E33</f>
        <v>10.77</v>
      </c>
      <c r="J34" s="469">
        <f>+'[3]Ad Valorem Taxes'!F33</f>
        <v>948258</v>
      </c>
      <c r="K34" s="493">
        <f>+'[3]Ad Valorem Taxes'!G33</f>
        <v>4.02</v>
      </c>
      <c r="L34" s="493">
        <f>+'[3]Ad Valorem Taxes'!H33</f>
        <v>21.45</v>
      </c>
      <c r="M34" s="493">
        <f>+'[3]Ad Valorem Taxes'!I33</f>
        <v>7</v>
      </c>
      <c r="N34" s="469">
        <f>+'[3]Ad Valorem Taxes'!J33</f>
        <v>1063613</v>
      </c>
      <c r="O34" s="35">
        <f t="shared" si="12"/>
        <v>2582412</v>
      </c>
      <c r="P34" s="493">
        <f>+'[3]Ad Valorem Taxes'!L33</f>
        <v>0</v>
      </c>
      <c r="Q34" s="469">
        <f>+'[3]Ad Valorem Taxes'!M33</f>
        <v>0</v>
      </c>
      <c r="R34" s="493">
        <f>+'[3]Ad Valorem Taxes'!N33</f>
        <v>8</v>
      </c>
      <c r="S34" s="493">
        <f>+'[3]Ad Valorem Taxes'!O33</f>
        <v>28</v>
      </c>
      <c r="T34" s="495">
        <f>+'[3]Ad Valorem Taxes'!P33</f>
        <v>4</v>
      </c>
      <c r="U34" s="469">
        <f>+'[3]Ad Valorem Taxes'!Q33</f>
        <v>817434</v>
      </c>
      <c r="V34" s="35">
        <f t="shared" si="13"/>
        <v>817434</v>
      </c>
      <c r="W34" s="59">
        <f t="shared" si="1"/>
        <v>17.25</v>
      </c>
      <c r="X34" s="35">
        <f t="shared" si="2"/>
        <v>1518799</v>
      </c>
      <c r="Y34" s="35">
        <f t="shared" si="3"/>
        <v>1881047</v>
      </c>
      <c r="Z34" s="231">
        <f t="shared" si="4"/>
        <v>8.769</v>
      </c>
      <c r="AA34" s="231">
        <f t="shared" si="5"/>
        <v>27.701</v>
      </c>
      <c r="AB34" s="600">
        <f t="shared" si="6"/>
        <v>36.47</v>
      </c>
      <c r="AC34" s="606">
        <f t="shared" si="7"/>
        <v>3399846</v>
      </c>
      <c r="AD34" s="501">
        <f>+'[3]Sales Taxes'!C34</f>
        <v>0.02</v>
      </c>
      <c r="AE34" s="489">
        <f>+'[3]Sales Taxes'!D34</f>
        <v>6694984</v>
      </c>
      <c r="AF34" s="592">
        <f>+'[3]Sales Taxes'!E34</f>
        <v>0</v>
      </c>
      <c r="AG34" s="597">
        <f t="shared" si="8"/>
        <v>6694984</v>
      </c>
      <c r="AH34" s="595">
        <f t="shared" si="15"/>
        <v>334749200</v>
      </c>
      <c r="AI34" s="39">
        <f t="shared" si="10"/>
        <v>0.02</v>
      </c>
      <c r="AJ34" s="39">
        <f t="shared" si="11"/>
        <v>0</v>
      </c>
      <c r="AK34" s="752">
        <f>+'[3]Other Revenue'!N34</f>
        <v>305832</v>
      </c>
      <c r="AL34" s="505">
        <f t="shared" si="14"/>
        <v>10400662</v>
      </c>
    </row>
    <row r="35" spans="1:38" ht="12.75">
      <c r="A35" s="33">
        <v>28</v>
      </c>
      <c r="B35" s="405" t="s">
        <v>33</v>
      </c>
      <c r="C35" s="401"/>
      <c r="D35" s="469">
        <f>+'[3]2000 Property Assessments'!C33</f>
        <v>879927716</v>
      </c>
      <c r="E35" s="587">
        <f>+'[3]2000 Property Assessments'!D33</f>
        <v>240542846</v>
      </c>
      <c r="F35" s="35">
        <f t="shared" si="0"/>
        <v>639384870</v>
      </c>
      <c r="G35" s="745">
        <f>+'[3]Ad Valorem Taxes'!C34</f>
        <v>4.59</v>
      </c>
      <c r="H35" s="469">
        <f>+'[3]Ad Valorem Taxes'!D34</f>
        <v>2822535</v>
      </c>
      <c r="I35" s="494">
        <f>+'[3]Ad Valorem Taxes'!E34</f>
        <v>28.97</v>
      </c>
      <c r="J35" s="469">
        <f>+'[3]Ad Valorem Taxes'!F34</f>
        <v>17826087</v>
      </c>
      <c r="K35" s="493">
        <f>+'[3]Ad Valorem Taxes'!G34</f>
        <v>0</v>
      </c>
      <c r="L35" s="493">
        <f>+'[3]Ad Valorem Taxes'!H34</f>
        <v>0</v>
      </c>
      <c r="M35" s="493">
        <f>+'[3]Ad Valorem Taxes'!I34</f>
        <v>0</v>
      </c>
      <c r="N35" s="469">
        <f>+'[3]Ad Valorem Taxes'!J34</f>
        <v>0</v>
      </c>
      <c r="O35" s="35">
        <f t="shared" si="12"/>
        <v>20648622</v>
      </c>
      <c r="P35" s="493">
        <f>+'[3]Ad Valorem Taxes'!L34</f>
        <v>0.8</v>
      </c>
      <c r="Q35" s="469">
        <f>+'[3]Ad Valorem Taxes'!M34</f>
        <v>505667</v>
      </c>
      <c r="R35" s="493">
        <f>+'[3]Ad Valorem Taxes'!N34</f>
        <v>0</v>
      </c>
      <c r="S35" s="493">
        <f>+'[3]Ad Valorem Taxes'!O34</f>
        <v>0</v>
      </c>
      <c r="T35" s="495">
        <f>+'[3]Ad Valorem Taxes'!P34</f>
        <v>0</v>
      </c>
      <c r="U35" s="469">
        <f>+'[3]Ad Valorem Taxes'!Q34</f>
        <v>0</v>
      </c>
      <c r="V35" s="35">
        <f t="shared" si="13"/>
        <v>505667</v>
      </c>
      <c r="W35" s="59">
        <f t="shared" si="1"/>
        <v>34.36</v>
      </c>
      <c r="X35" s="35">
        <f t="shared" si="2"/>
        <v>21154289</v>
      </c>
      <c r="Y35" s="35">
        <f t="shared" si="3"/>
        <v>0</v>
      </c>
      <c r="Z35" s="231">
        <f t="shared" si="4"/>
        <v>0.791</v>
      </c>
      <c r="AA35" s="231">
        <f t="shared" si="5"/>
        <v>32.295</v>
      </c>
      <c r="AB35" s="600">
        <f t="shared" si="6"/>
        <v>33.085</v>
      </c>
      <c r="AC35" s="606">
        <f t="shared" si="7"/>
        <v>21154289</v>
      </c>
      <c r="AD35" s="501">
        <f>+'[3]Sales Taxes'!C35</f>
        <v>0.015</v>
      </c>
      <c r="AE35" s="489">
        <f>+'[3]Sales Taxes'!D35</f>
        <v>43184730</v>
      </c>
      <c r="AF35" s="592">
        <f>+'[3]Sales Taxes'!E35</f>
        <v>8801977</v>
      </c>
      <c r="AG35" s="597">
        <f t="shared" si="8"/>
        <v>51986707</v>
      </c>
      <c r="AH35" s="595">
        <f t="shared" si="15"/>
        <v>3465780467</v>
      </c>
      <c r="AI35" s="39">
        <f t="shared" si="10"/>
        <v>0.0125</v>
      </c>
      <c r="AJ35" s="39">
        <f t="shared" si="11"/>
        <v>0.0025</v>
      </c>
      <c r="AK35" s="752">
        <f>+'[3]Other Revenue'!N35</f>
        <v>2188507</v>
      </c>
      <c r="AL35" s="505">
        <f t="shared" si="14"/>
        <v>75329503</v>
      </c>
    </row>
    <row r="36" spans="1:38" ht="12.75">
      <c r="A36" s="33">
        <v>29</v>
      </c>
      <c r="B36" s="405" t="s">
        <v>34</v>
      </c>
      <c r="C36" s="401"/>
      <c r="D36" s="469">
        <f>+'[3]2000 Property Assessments'!C34</f>
        <v>422875040</v>
      </c>
      <c r="E36" s="587">
        <f>+'[3]2000 Property Assessments'!D34</f>
        <v>122835770</v>
      </c>
      <c r="F36" s="35">
        <f t="shared" si="0"/>
        <v>300039270</v>
      </c>
      <c r="G36" s="745">
        <f>+'[3]Ad Valorem Taxes'!C35</f>
        <v>3.93</v>
      </c>
      <c r="H36" s="469">
        <f>+'[3]Ad Valorem Taxes'!D35</f>
        <v>1153155</v>
      </c>
      <c r="I36" s="494">
        <f>+'[3]Ad Valorem Taxes'!E35</f>
        <v>21.99</v>
      </c>
      <c r="J36" s="469">
        <f>+'[3]Ad Valorem Taxes'!F35</f>
        <v>6447792</v>
      </c>
      <c r="K36" s="493">
        <f>+'[3]Ad Valorem Taxes'!G35</f>
        <v>0</v>
      </c>
      <c r="L36" s="493">
        <f>+'[3]Ad Valorem Taxes'!H35</f>
        <v>0</v>
      </c>
      <c r="M36" s="493">
        <f>+'[3]Ad Valorem Taxes'!I35</f>
        <v>0</v>
      </c>
      <c r="N36" s="469">
        <f>+'[3]Ad Valorem Taxes'!J35</f>
        <v>0</v>
      </c>
      <c r="O36" s="35">
        <f t="shared" si="12"/>
        <v>7600947</v>
      </c>
      <c r="P36" s="493">
        <f>+'[3]Ad Valorem Taxes'!L35</f>
        <v>17.2</v>
      </c>
      <c r="Q36" s="469">
        <f>+'[3]Ad Valorem Taxes'!M35</f>
        <v>5043183</v>
      </c>
      <c r="R36" s="493">
        <f>+'[3]Ad Valorem Taxes'!N35</f>
        <v>0</v>
      </c>
      <c r="S36" s="493">
        <f>+'[3]Ad Valorem Taxes'!O35</f>
        <v>0</v>
      </c>
      <c r="T36" s="495">
        <f>+'[3]Ad Valorem Taxes'!P35</f>
        <v>0</v>
      </c>
      <c r="U36" s="469">
        <f>+'[3]Ad Valorem Taxes'!Q35</f>
        <v>0</v>
      </c>
      <c r="V36" s="35">
        <f t="shared" si="13"/>
        <v>5043183</v>
      </c>
      <c r="W36" s="59">
        <f t="shared" si="1"/>
        <v>43.12</v>
      </c>
      <c r="X36" s="35">
        <f t="shared" si="2"/>
        <v>12644130</v>
      </c>
      <c r="Y36" s="35">
        <f t="shared" si="3"/>
        <v>0</v>
      </c>
      <c r="Z36" s="231">
        <f t="shared" si="4"/>
        <v>16.808</v>
      </c>
      <c r="AA36" s="231">
        <f t="shared" si="5"/>
        <v>25.333</v>
      </c>
      <c r="AB36" s="600">
        <f t="shared" si="6"/>
        <v>42.142</v>
      </c>
      <c r="AC36" s="606">
        <f t="shared" si="7"/>
        <v>12644130</v>
      </c>
      <c r="AD36" s="501">
        <f>+'[3]Sales Taxes'!C36</f>
        <v>0.02</v>
      </c>
      <c r="AE36" s="489">
        <f>+'[3]Sales Taxes'!D36</f>
        <v>18235375</v>
      </c>
      <c r="AF36" s="592">
        <f>+'[3]Sales Taxes'!E36</f>
        <v>0</v>
      </c>
      <c r="AG36" s="597">
        <f t="shared" si="8"/>
        <v>18235375</v>
      </c>
      <c r="AH36" s="595">
        <f t="shared" si="15"/>
        <v>911768750</v>
      </c>
      <c r="AI36" s="39">
        <f t="shared" si="10"/>
        <v>0.02</v>
      </c>
      <c r="AJ36" s="39">
        <f t="shared" si="11"/>
        <v>0</v>
      </c>
      <c r="AK36" s="752">
        <f>+'[3]Other Revenue'!N36</f>
        <v>1256133.5</v>
      </c>
      <c r="AL36" s="505">
        <f t="shared" si="14"/>
        <v>32135638.5</v>
      </c>
    </row>
    <row r="37" spans="1:38" ht="12.75">
      <c r="A37" s="47">
        <v>30</v>
      </c>
      <c r="B37" s="406" t="s">
        <v>35</v>
      </c>
      <c r="C37" s="402"/>
      <c r="D37" s="472">
        <f>+'[3]2000 Property Assessments'!C35</f>
        <v>53575181</v>
      </c>
      <c r="E37" s="588">
        <f>+'[3]2000 Property Assessments'!D35</f>
        <v>14354161</v>
      </c>
      <c r="F37" s="49">
        <f t="shared" si="0"/>
        <v>39221020</v>
      </c>
      <c r="G37" s="746">
        <f>+'[3]Ad Valorem Taxes'!C36</f>
        <v>5.19</v>
      </c>
      <c r="H37" s="472">
        <f>+'[3]Ad Valorem Taxes'!D36</f>
        <v>186498</v>
      </c>
      <c r="I37" s="497">
        <f>+'[3]Ad Valorem Taxes'!E36</f>
        <v>45.39</v>
      </c>
      <c r="J37" s="472">
        <f>+'[3]Ad Valorem Taxes'!F36</f>
        <v>1653260</v>
      </c>
      <c r="K37" s="496">
        <f>+'[3]Ad Valorem Taxes'!G36</f>
        <v>0</v>
      </c>
      <c r="L37" s="496">
        <f>+'[3]Ad Valorem Taxes'!H36</f>
        <v>0</v>
      </c>
      <c r="M37" s="496">
        <f>+'[3]Ad Valorem Taxes'!I36</f>
        <v>0</v>
      </c>
      <c r="N37" s="472">
        <f>+'[3]Ad Valorem Taxes'!J36</f>
        <v>0</v>
      </c>
      <c r="O37" s="49">
        <f t="shared" si="12"/>
        <v>1839758</v>
      </c>
      <c r="P37" s="496">
        <f>+'[3]Ad Valorem Taxes'!L36</f>
        <v>0</v>
      </c>
      <c r="Q37" s="472">
        <f>+'[3]Ad Valorem Taxes'!M36</f>
        <v>0</v>
      </c>
      <c r="R37" s="496">
        <f>+'[3]Ad Valorem Taxes'!N36</f>
        <v>0</v>
      </c>
      <c r="S37" s="496">
        <f>+'[3]Ad Valorem Taxes'!O36</f>
        <v>0</v>
      </c>
      <c r="T37" s="498">
        <f>+'[3]Ad Valorem Taxes'!P36</f>
        <v>0</v>
      </c>
      <c r="U37" s="472">
        <f>+'[3]Ad Valorem Taxes'!Q36</f>
        <v>0</v>
      </c>
      <c r="V37" s="49">
        <f t="shared" si="13"/>
        <v>0</v>
      </c>
      <c r="W37" s="60">
        <f t="shared" si="1"/>
        <v>50.58</v>
      </c>
      <c r="X37" s="49">
        <f t="shared" si="2"/>
        <v>1839758</v>
      </c>
      <c r="Y37" s="49">
        <f t="shared" si="3"/>
        <v>0</v>
      </c>
      <c r="Z37" s="232">
        <f t="shared" si="4"/>
        <v>0</v>
      </c>
      <c r="AA37" s="232">
        <f t="shared" si="5"/>
        <v>46.907</v>
      </c>
      <c r="AB37" s="601">
        <f t="shared" si="6"/>
        <v>46.907</v>
      </c>
      <c r="AC37" s="607">
        <f t="shared" si="7"/>
        <v>1839758</v>
      </c>
      <c r="AD37" s="502">
        <f>+'[3]Sales Taxes'!C37</f>
        <v>0.02</v>
      </c>
      <c r="AE37" s="490">
        <f>+'[3]Sales Taxes'!D37</f>
        <v>2725914</v>
      </c>
      <c r="AF37" s="593">
        <f>+'[3]Sales Taxes'!E37</f>
        <v>0</v>
      </c>
      <c r="AG37" s="598">
        <f t="shared" si="8"/>
        <v>2725914</v>
      </c>
      <c r="AH37" s="596">
        <f t="shared" si="15"/>
        <v>136295700</v>
      </c>
      <c r="AI37" s="52">
        <f t="shared" si="10"/>
        <v>0.02</v>
      </c>
      <c r="AJ37" s="52">
        <f t="shared" si="11"/>
        <v>0</v>
      </c>
      <c r="AK37" s="755">
        <f>+'[3]Other Revenue'!N37</f>
        <v>71122</v>
      </c>
      <c r="AL37" s="584">
        <f t="shared" si="14"/>
        <v>4636794</v>
      </c>
    </row>
    <row r="38" spans="1:38" ht="12.75">
      <c r="A38" s="33">
        <v>31</v>
      </c>
      <c r="B38" s="405" t="s">
        <v>36</v>
      </c>
      <c r="C38" s="401"/>
      <c r="D38" s="469">
        <f>+'[3]2000 Property Assessments'!C36</f>
        <v>183521030</v>
      </c>
      <c r="E38" s="587">
        <f>+'[3]2000 Property Assessments'!D36</f>
        <v>42252330</v>
      </c>
      <c r="F38" s="35">
        <f t="shared" si="0"/>
        <v>141268700</v>
      </c>
      <c r="G38" s="745">
        <f>+'[3]Ad Valorem Taxes'!C37</f>
        <v>4.99</v>
      </c>
      <c r="H38" s="469">
        <f>+'[3]Ad Valorem Taxes'!D37</f>
        <v>656405</v>
      </c>
      <c r="I38" s="494">
        <f>+'[3]Ad Valorem Taxes'!E37</f>
        <v>32.37</v>
      </c>
      <c r="J38" s="469">
        <f>+'[3]Ad Valorem Taxes'!F37</f>
        <v>4248624</v>
      </c>
      <c r="K38" s="493">
        <f>+'[3]Ad Valorem Taxes'!G37</f>
        <v>2.75</v>
      </c>
      <c r="L38" s="493">
        <f>+'[3]Ad Valorem Taxes'!H37</f>
        <v>3.33</v>
      </c>
      <c r="M38" s="493">
        <f>+'[3]Ad Valorem Taxes'!I37</f>
        <v>3</v>
      </c>
      <c r="N38" s="469">
        <f>+'[3]Ad Valorem Taxes'!J37</f>
        <v>369100</v>
      </c>
      <c r="O38" s="35">
        <f t="shared" si="12"/>
        <v>5274129</v>
      </c>
      <c r="P38" s="493">
        <f>+'[3]Ad Valorem Taxes'!L37</f>
        <v>0</v>
      </c>
      <c r="Q38" s="469">
        <f>+'[3]Ad Valorem Taxes'!M37</f>
        <v>0</v>
      </c>
      <c r="R38" s="493">
        <f>+'[3]Ad Valorem Taxes'!N37</f>
        <v>15</v>
      </c>
      <c r="S38" s="493">
        <f>+'[3]Ad Valorem Taxes'!O37</f>
        <v>25</v>
      </c>
      <c r="T38" s="495">
        <f>+'[3]Ad Valorem Taxes'!P37</f>
        <v>3</v>
      </c>
      <c r="U38" s="469">
        <f>+'[3]Ad Valorem Taxes'!Q37</f>
        <v>1867177</v>
      </c>
      <c r="V38" s="35">
        <f t="shared" si="13"/>
        <v>1867177</v>
      </c>
      <c r="W38" s="59">
        <f t="shared" si="1"/>
        <v>37.36</v>
      </c>
      <c r="X38" s="35">
        <f t="shared" si="2"/>
        <v>4905029</v>
      </c>
      <c r="Y38" s="35">
        <f t="shared" si="3"/>
        <v>2236277</v>
      </c>
      <c r="Z38" s="231">
        <f t="shared" si="4"/>
        <v>13.217</v>
      </c>
      <c r="AA38" s="231">
        <f t="shared" si="5"/>
        <v>37.334</v>
      </c>
      <c r="AB38" s="600">
        <f t="shared" si="6"/>
        <v>50.551</v>
      </c>
      <c r="AC38" s="606">
        <f t="shared" si="7"/>
        <v>7141306</v>
      </c>
      <c r="AD38" s="501">
        <f>+'[3]Sales Taxes'!C38</f>
        <v>0.02</v>
      </c>
      <c r="AE38" s="489">
        <f>+'[3]Sales Taxes'!D38</f>
        <v>9463006</v>
      </c>
      <c r="AF38" s="592">
        <f>+'[3]Sales Taxes'!E38</f>
        <v>0</v>
      </c>
      <c r="AG38" s="597">
        <f t="shared" si="8"/>
        <v>9463006</v>
      </c>
      <c r="AH38" s="595">
        <f t="shared" si="15"/>
        <v>473150300</v>
      </c>
      <c r="AI38" s="39">
        <f t="shared" si="10"/>
        <v>0.02</v>
      </c>
      <c r="AJ38" s="39">
        <f t="shared" si="11"/>
        <v>0</v>
      </c>
      <c r="AK38" s="752">
        <f>+'[3]Other Revenue'!N38</f>
        <v>277291</v>
      </c>
      <c r="AL38" s="505">
        <f t="shared" si="14"/>
        <v>16881603</v>
      </c>
    </row>
    <row r="39" spans="1:38" ht="12.75">
      <c r="A39" s="33">
        <v>32</v>
      </c>
      <c r="B39" s="405" t="s">
        <v>37</v>
      </c>
      <c r="C39" s="401"/>
      <c r="D39" s="469">
        <f>+'[3]2000 Property Assessments'!C37</f>
        <v>271769720</v>
      </c>
      <c r="E39" s="587">
        <f>+'[3]2000 Property Assessments'!D37</f>
        <v>133822190</v>
      </c>
      <c r="F39" s="35">
        <f t="shared" si="0"/>
        <v>137947530</v>
      </c>
      <c r="G39" s="745">
        <f>+'[3]Ad Valorem Taxes'!C38</f>
        <v>3.29</v>
      </c>
      <c r="H39" s="469">
        <f>+'[3]Ad Valorem Taxes'!D38</f>
        <v>455556</v>
      </c>
      <c r="I39" s="494">
        <f>+'[3]Ad Valorem Taxes'!E38</f>
        <v>19.18</v>
      </c>
      <c r="J39" s="469">
        <f>+'[3]Ad Valorem Taxes'!F38</f>
        <v>2655809</v>
      </c>
      <c r="K39" s="493">
        <f>+'[3]Ad Valorem Taxes'!G38</f>
        <v>0</v>
      </c>
      <c r="L39" s="493">
        <f>+'[3]Ad Valorem Taxes'!H38</f>
        <v>0</v>
      </c>
      <c r="M39" s="493">
        <f>+'[3]Ad Valorem Taxes'!I38</f>
        <v>0</v>
      </c>
      <c r="N39" s="469">
        <f>+'[3]Ad Valorem Taxes'!J38</f>
        <v>0</v>
      </c>
      <c r="O39" s="35">
        <f t="shared" si="12"/>
        <v>3111365</v>
      </c>
      <c r="P39" s="493">
        <f>+'[3]Ad Valorem Taxes'!L38</f>
        <v>0</v>
      </c>
      <c r="Q39" s="469">
        <f>+'[3]Ad Valorem Taxes'!M38</f>
        <v>0</v>
      </c>
      <c r="R39" s="493">
        <f>+'[3]Ad Valorem Taxes'!N38</f>
        <v>10.57</v>
      </c>
      <c r="S39" s="493">
        <f>+'[3]Ad Valorem Taxes'!O38</f>
        <v>50.17</v>
      </c>
      <c r="T39" s="495">
        <f>+'[3]Ad Valorem Taxes'!P38</f>
        <v>10</v>
      </c>
      <c r="U39" s="469">
        <f>+'[3]Ad Valorem Taxes'!Q38</f>
        <v>3696787</v>
      </c>
      <c r="V39" s="35">
        <f t="shared" si="13"/>
        <v>3696787</v>
      </c>
      <c r="W39" s="59">
        <f t="shared" si="1"/>
        <v>22.47</v>
      </c>
      <c r="X39" s="35">
        <f t="shared" si="2"/>
        <v>3111365</v>
      </c>
      <c r="Y39" s="35">
        <f t="shared" si="3"/>
        <v>3696787</v>
      </c>
      <c r="Z39" s="231">
        <f t="shared" si="4"/>
        <v>26.799</v>
      </c>
      <c r="AA39" s="231">
        <f t="shared" si="5"/>
        <v>22.555</v>
      </c>
      <c r="AB39" s="600">
        <f t="shared" si="6"/>
        <v>49.353</v>
      </c>
      <c r="AC39" s="606">
        <f t="shared" si="7"/>
        <v>6808152</v>
      </c>
      <c r="AD39" s="501">
        <f>+'[3]Sales Taxes'!C39</f>
        <v>0.025</v>
      </c>
      <c r="AE39" s="489">
        <f>+'[3]Sales Taxes'!D39</f>
        <v>17533842</v>
      </c>
      <c r="AF39" s="592">
        <f>+'[3]Sales Taxes'!E39</f>
        <v>0</v>
      </c>
      <c r="AG39" s="597">
        <f t="shared" si="8"/>
        <v>17533842</v>
      </c>
      <c r="AH39" s="595">
        <f t="shared" si="15"/>
        <v>701353680</v>
      </c>
      <c r="AI39" s="39">
        <f t="shared" si="10"/>
        <v>0.025</v>
      </c>
      <c r="AJ39" s="39">
        <f t="shared" si="11"/>
        <v>0</v>
      </c>
      <c r="AK39" s="752">
        <f>+'[3]Other Revenue'!N39</f>
        <v>707868.5</v>
      </c>
      <c r="AL39" s="505">
        <f t="shared" si="14"/>
        <v>25049862.5</v>
      </c>
    </row>
    <row r="40" spans="1:38" ht="12.75">
      <c r="A40" s="33">
        <v>33</v>
      </c>
      <c r="B40" s="405" t="s">
        <v>38</v>
      </c>
      <c r="C40" s="401"/>
      <c r="D40" s="469">
        <f>+'[3]2000 Property Assessments'!C38</f>
        <v>52192720</v>
      </c>
      <c r="E40" s="587">
        <f>+'[3]2000 Property Assessments'!D38</f>
        <v>9670137</v>
      </c>
      <c r="F40" s="35">
        <f aca="true" t="shared" si="16" ref="F40:F71">D40-E40</f>
        <v>42522583</v>
      </c>
      <c r="G40" s="745">
        <f>+'[3]Ad Valorem Taxes'!C39</f>
        <v>4.76</v>
      </c>
      <c r="H40" s="469">
        <f>+'[3]Ad Valorem Taxes'!D39</f>
        <v>203578</v>
      </c>
      <c r="I40" s="494">
        <f>+'[3]Ad Valorem Taxes'!E39</f>
        <v>4.76</v>
      </c>
      <c r="J40" s="469">
        <f>+'[3]Ad Valorem Taxes'!F39</f>
        <v>203578</v>
      </c>
      <c r="K40" s="493">
        <f>+'[3]Ad Valorem Taxes'!G39</f>
        <v>0</v>
      </c>
      <c r="L40" s="493">
        <f>+'[3]Ad Valorem Taxes'!H39</f>
        <v>0</v>
      </c>
      <c r="M40" s="493">
        <f>+'[3]Ad Valorem Taxes'!I39</f>
        <v>0</v>
      </c>
      <c r="N40" s="469">
        <f>+'[3]Ad Valorem Taxes'!J39</f>
        <v>0</v>
      </c>
      <c r="O40" s="35">
        <f aca="true" t="shared" si="17" ref="O40:O71">H40+J40+N40</f>
        <v>407156</v>
      </c>
      <c r="P40" s="493">
        <f>+'[3]Ad Valorem Taxes'!L39</f>
        <v>0</v>
      </c>
      <c r="Q40" s="469">
        <f>+'[3]Ad Valorem Taxes'!M39</f>
        <v>0</v>
      </c>
      <c r="R40" s="493">
        <f>+'[3]Ad Valorem Taxes'!N39</f>
        <v>0</v>
      </c>
      <c r="S40" s="493">
        <f>+'[3]Ad Valorem Taxes'!O39</f>
        <v>0</v>
      </c>
      <c r="T40" s="495">
        <f>+'[3]Ad Valorem Taxes'!P39</f>
        <v>0</v>
      </c>
      <c r="U40" s="469">
        <f>+'[3]Ad Valorem Taxes'!Q39</f>
        <v>0</v>
      </c>
      <c r="V40" s="35">
        <f aca="true" t="shared" si="18" ref="V40:V71">Q40+U40</f>
        <v>0</v>
      </c>
      <c r="W40" s="59">
        <f aca="true" t="shared" si="19" ref="W40:W73">G40+I40+P40</f>
        <v>9.52</v>
      </c>
      <c r="X40" s="35">
        <f aca="true" t="shared" si="20" ref="X40:X73">H40+J40+Q40</f>
        <v>407156</v>
      </c>
      <c r="Y40" s="35">
        <f aca="true" t="shared" si="21" ref="Y40:Y73">N40+U40</f>
        <v>0</v>
      </c>
      <c r="Z40" s="231">
        <f aca="true" t="shared" si="22" ref="Z40:Z73">ROUND((V40/F40)*1000,3)</f>
        <v>0</v>
      </c>
      <c r="AA40" s="231">
        <f aca="true" t="shared" si="23" ref="AA40:AA73">ROUND((O40/F40)*1000,3)</f>
        <v>9.575</v>
      </c>
      <c r="AB40" s="600">
        <f aca="true" t="shared" si="24" ref="AB40:AB71">ROUND((AC40/F40)*1000,3)</f>
        <v>9.575</v>
      </c>
      <c r="AC40" s="606">
        <f aca="true" t="shared" si="25" ref="AC40:AC73">V40+O40</f>
        <v>407156</v>
      </c>
      <c r="AD40" s="501">
        <f>+'[3]Sales Taxes'!C40</f>
        <v>0.015</v>
      </c>
      <c r="AE40" s="489">
        <f>+'[3]Sales Taxes'!D40</f>
        <v>1342990</v>
      </c>
      <c r="AF40" s="592">
        <f>+'[3]Sales Taxes'!E40</f>
        <v>0</v>
      </c>
      <c r="AG40" s="597">
        <f aca="true" t="shared" si="26" ref="AG40:AG71">SUM(AE40+AF40)</f>
        <v>1342990</v>
      </c>
      <c r="AH40" s="595">
        <f t="shared" si="15"/>
        <v>89532667</v>
      </c>
      <c r="AI40" s="39">
        <f aca="true" t="shared" si="27" ref="AI40:AI71">ROUND(AE40/AH40,4)</f>
        <v>0.015</v>
      </c>
      <c r="AJ40" s="39">
        <f aca="true" t="shared" si="28" ref="AJ40:AJ73">ROUND(AF40/AH40,4)</f>
        <v>0</v>
      </c>
      <c r="AK40" s="752">
        <f>+'[3]Other Revenue'!N40</f>
        <v>69004.5</v>
      </c>
      <c r="AL40" s="505">
        <f t="shared" si="14"/>
        <v>1819150.5</v>
      </c>
    </row>
    <row r="41" spans="1:38" ht="12.75">
      <c r="A41" s="33">
        <v>34</v>
      </c>
      <c r="B41" s="405" t="s">
        <v>39</v>
      </c>
      <c r="C41" s="401"/>
      <c r="D41" s="469">
        <f>+'[3]2000 Property Assessments'!C39</f>
        <v>132853870</v>
      </c>
      <c r="E41" s="587">
        <f>+'[3]2000 Property Assessments'!D39</f>
        <v>29433030</v>
      </c>
      <c r="F41" s="35">
        <f t="shared" si="16"/>
        <v>103420840</v>
      </c>
      <c r="G41" s="745">
        <f>+'[3]Ad Valorem Taxes'!C40</f>
        <v>5.57</v>
      </c>
      <c r="H41" s="469">
        <f>+'[3]Ad Valorem Taxes'!D40</f>
        <v>530300</v>
      </c>
      <c r="I41" s="494">
        <f>+'[3]Ad Valorem Taxes'!E40</f>
        <v>23.29</v>
      </c>
      <c r="J41" s="469">
        <f>+'[3]Ad Valorem Taxes'!F40</f>
        <v>2217260</v>
      </c>
      <c r="K41" s="493">
        <f>+'[3]Ad Valorem Taxes'!G40</f>
        <v>5</v>
      </c>
      <c r="L41" s="493">
        <f>+'[3]Ad Valorem Taxes'!H40</f>
        <v>5</v>
      </c>
      <c r="M41" s="493">
        <f>+'[3]Ad Valorem Taxes'!I40</f>
        <v>1</v>
      </c>
      <c r="N41" s="469">
        <f>+'[3]Ad Valorem Taxes'!J40</f>
        <v>25302</v>
      </c>
      <c r="O41" s="35">
        <f t="shared" si="17"/>
        <v>2772862</v>
      </c>
      <c r="P41" s="493">
        <f>+'[3]Ad Valorem Taxes'!L40</f>
        <v>0</v>
      </c>
      <c r="Q41" s="469">
        <f>+'[3]Ad Valorem Taxes'!M40</f>
        <v>0</v>
      </c>
      <c r="R41" s="493">
        <f>+'[3]Ad Valorem Taxes'!N40</f>
        <v>0</v>
      </c>
      <c r="S41" s="493">
        <f>+'[3]Ad Valorem Taxes'!O40</f>
        <v>0</v>
      </c>
      <c r="T41" s="495">
        <f>+'[3]Ad Valorem Taxes'!P40</f>
        <v>0</v>
      </c>
      <c r="U41" s="469">
        <f>+'[3]Ad Valorem Taxes'!Q40</f>
        <v>0</v>
      </c>
      <c r="V41" s="35">
        <f t="shared" si="18"/>
        <v>0</v>
      </c>
      <c r="W41" s="59">
        <f t="shared" si="19"/>
        <v>28.86</v>
      </c>
      <c r="X41" s="35">
        <f t="shared" si="20"/>
        <v>2747560</v>
      </c>
      <c r="Y41" s="35">
        <f t="shared" si="21"/>
        <v>25302</v>
      </c>
      <c r="Z41" s="231">
        <f t="shared" si="22"/>
        <v>0</v>
      </c>
      <c r="AA41" s="231">
        <f t="shared" si="23"/>
        <v>26.811</v>
      </c>
      <c r="AB41" s="600">
        <f t="shared" si="24"/>
        <v>26.811</v>
      </c>
      <c r="AC41" s="606">
        <f t="shared" si="25"/>
        <v>2772862</v>
      </c>
      <c r="AD41" s="501">
        <f>+'[3]Sales Taxes'!C41</f>
        <v>0.015</v>
      </c>
      <c r="AE41" s="489">
        <f>+'[3]Sales Taxes'!D41</f>
        <v>4128252</v>
      </c>
      <c r="AF41" s="592">
        <f>+'[3]Sales Taxes'!E41</f>
        <v>0</v>
      </c>
      <c r="AG41" s="597">
        <f t="shared" si="26"/>
        <v>4128252</v>
      </c>
      <c r="AH41" s="595">
        <f t="shared" si="15"/>
        <v>275216800</v>
      </c>
      <c r="AI41" s="39">
        <f t="shared" si="27"/>
        <v>0.015</v>
      </c>
      <c r="AJ41" s="39">
        <f t="shared" si="28"/>
        <v>0</v>
      </c>
      <c r="AK41" s="752">
        <f>+'[3]Other Revenue'!N41</f>
        <v>295833.5</v>
      </c>
      <c r="AL41" s="505">
        <f t="shared" si="14"/>
        <v>7196947.5</v>
      </c>
    </row>
    <row r="42" spans="1:38" ht="12.75">
      <c r="A42" s="47">
        <v>35</v>
      </c>
      <c r="B42" s="406" t="s">
        <v>40</v>
      </c>
      <c r="C42" s="402"/>
      <c r="D42" s="472">
        <f>+'[3]2000 Property Assessments'!C40</f>
        <v>146473830</v>
      </c>
      <c r="E42" s="588">
        <f>+'[3]2000 Property Assessments'!D40</f>
        <v>38187270</v>
      </c>
      <c r="F42" s="49">
        <f t="shared" si="16"/>
        <v>108286560</v>
      </c>
      <c r="G42" s="746">
        <f>+'[3]Ad Valorem Taxes'!C41</f>
        <v>4.65</v>
      </c>
      <c r="H42" s="472">
        <f>+'[3]Ad Valorem Taxes'!D41</f>
        <v>491598</v>
      </c>
      <c r="I42" s="497">
        <f>+'[3]Ad Valorem Taxes'!E41</f>
        <v>7</v>
      </c>
      <c r="J42" s="472">
        <f>+'[3]Ad Valorem Taxes'!F41</f>
        <v>740040</v>
      </c>
      <c r="K42" s="496">
        <f>+'[3]Ad Valorem Taxes'!G41</f>
        <v>6.98</v>
      </c>
      <c r="L42" s="496">
        <f>+'[3]Ad Valorem Taxes'!H41</f>
        <v>7</v>
      </c>
      <c r="M42" s="496">
        <f>+'[3]Ad Valorem Taxes'!I41</f>
        <v>5</v>
      </c>
      <c r="N42" s="472">
        <f>+'[3]Ad Valorem Taxes'!J41</f>
        <v>750245</v>
      </c>
      <c r="O42" s="49">
        <f t="shared" si="17"/>
        <v>1981883</v>
      </c>
      <c r="P42" s="496">
        <f>+'[3]Ad Valorem Taxes'!L41</f>
        <v>0</v>
      </c>
      <c r="Q42" s="472">
        <f>+'[3]Ad Valorem Taxes'!M41</f>
        <v>0</v>
      </c>
      <c r="R42" s="496">
        <f>+'[3]Ad Valorem Taxes'!N41</f>
        <v>27</v>
      </c>
      <c r="S42" s="496">
        <f>+'[3]Ad Valorem Taxes'!O41</f>
        <v>53</v>
      </c>
      <c r="T42" s="498">
        <f>+'[3]Ad Valorem Taxes'!P41</f>
        <v>3</v>
      </c>
      <c r="U42" s="472">
        <f>+'[3]Ad Valorem Taxes'!Q41</f>
        <v>3249980</v>
      </c>
      <c r="V42" s="49">
        <f t="shared" si="18"/>
        <v>3249980</v>
      </c>
      <c r="W42" s="60">
        <f t="shared" si="19"/>
        <v>11.65</v>
      </c>
      <c r="X42" s="49">
        <f t="shared" si="20"/>
        <v>1231638</v>
      </c>
      <c r="Y42" s="49">
        <f t="shared" si="21"/>
        <v>4000225</v>
      </c>
      <c r="Z42" s="232">
        <f t="shared" si="22"/>
        <v>30.013</v>
      </c>
      <c r="AA42" s="232">
        <f t="shared" si="23"/>
        <v>18.302</v>
      </c>
      <c r="AB42" s="601">
        <f t="shared" si="24"/>
        <v>48.315</v>
      </c>
      <c r="AC42" s="607">
        <f t="shared" si="25"/>
        <v>5231863</v>
      </c>
      <c r="AD42" s="502">
        <f>+'[3]Sales Taxes'!C42</f>
        <v>0.015</v>
      </c>
      <c r="AE42" s="490">
        <f>+'[3]Sales Taxes'!D42</f>
        <v>6447955</v>
      </c>
      <c r="AF42" s="593">
        <f>+'[3]Sales Taxes'!E42</f>
        <v>0</v>
      </c>
      <c r="AG42" s="598">
        <f t="shared" si="26"/>
        <v>6447955</v>
      </c>
      <c r="AH42" s="596">
        <f t="shared" si="15"/>
        <v>429863667</v>
      </c>
      <c r="AI42" s="52">
        <f t="shared" si="27"/>
        <v>0.015</v>
      </c>
      <c r="AJ42" s="52">
        <f t="shared" si="28"/>
        <v>0</v>
      </c>
      <c r="AK42" s="755">
        <f>+'[3]Other Revenue'!N42</f>
        <v>486790.5</v>
      </c>
      <c r="AL42" s="584">
        <f t="shared" si="14"/>
        <v>12166608.5</v>
      </c>
    </row>
    <row r="43" spans="1:38" ht="12.75">
      <c r="A43" s="33">
        <v>36</v>
      </c>
      <c r="B43" s="405" t="s">
        <v>41</v>
      </c>
      <c r="C43" s="401"/>
      <c r="D43" s="469">
        <f>+'[3]2000 Property Assessments'!C41</f>
        <v>2248022196</v>
      </c>
      <c r="E43" s="587">
        <f>+'[3]2000 Property Assessments'!D41</f>
        <v>474795273</v>
      </c>
      <c r="F43" s="35">
        <f t="shared" si="16"/>
        <v>1773226923</v>
      </c>
      <c r="G43" s="745">
        <f>+'[3]Ad Valorem Taxes'!C42</f>
        <v>27.65</v>
      </c>
      <c r="H43" s="469">
        <f>+'[3]Ad Valorem Taxes'!D42</f>
        <v>43965614</v>
      </c>
      <c r="I43" s="494">
        <f>+'[3]Ad Valorem Taxes'!E42</f>
        <v>14.26</v>
      </c>
      <c r="J43" s="469">
        <f>+'[3]Ad Valorem Taxes'!F42</f>
        <v>28371224</v>
      </c>
      <c r="K43" s="493">
        <f>+'[3]Ad Valorem Taxes'!G42</f>
        <v>0</v>
      </c>
      <c r="L43" s="493">
        <f>+'[3]Ad Valorem Taxes'!H42</f>
        <v>0</v>
      </c>
      <c r="M43" s="493">
        <f>+'[3]Ad Valorem Taxes'!I42</f>
        <v>7</v>
      </c>
      <c r="N43" s="469">
        <f>+'[3]Ad Valorem Taxes'!J42</f>
        <v>0</v>
      </c>
      <c r="O43" s="35">
        <f t="shared" si="17"/>
        <v>72336838</v>
      </c>
      <c r="P43" s="493">
        <f>+'[3]Ad Valorem Taxes'!L42</f>
        <v>10.79</v>
      </c>
      <c r="Q43" s="469">
        <f>+'[3]Ad Valorem Taxes'!M42</f>
        <v>13345886</v>
      </c>
      <c r="R43" s="493">
        <f>+'[3]Ad Valorem Taxes'!N42</f>
        <v>0</v>
      </c>
      <c r="S43" s="493">
        <f>+'[3]Ad Valorem Taxes'!O42</f>
        <v>0</v>
      </c>
      <c r="T43" s="495">
        <f>+'[3]Ad Valorem Taxes'!P42</f>
        <v>7</v>
      </c>
      <c r="U43" s="469">
        <f>+'[3]Ad Valorem Taxes'!Q42</f>
        <v>0</v>
      </c>
      <c r="V43" s="35">
        <f t="shared" si="18"/>
        <v>13345886</v>
      </c>
      <c r="W43" s="59">
        <f t="shared" si="19"/>
        <v>52.699999999999996</v>
      </c>
      <c r="X43" s="35">
        <f t="shared" si="20"/>
        <v>85682724</v>
      </c>
      <c r="Y43" s="35">
        <f t="shared" si="21"/>
        <v>0</v>
      </c>
      <c r="Z43" s="231">
        <f t="shared" si="22"/>
        <v>7.526</v>
      </c>
      <c r="AA43" s="231">
        <f t="shared" si="23"/>
        <v>40.794</v>
      </c>
      <c r="AB43" s="600">
        <f t="shared" si="24"/>
        <v>48.32</v>
      </c>
      <c r="AC43" s="606">
        <f t="shared" si="25"/>
        <v>85682724</v>
      </c>
      <c r="AD43" s="501">
        <f>+'[3]Sales Taxes'!C43</f>
        <v>0.015</v>
      </c>
      <c r="AE43" s="489">
        <f>+'[3]Sales Taxes'!D43</f>
        <v>82745468</v>
      </c>
      <c r="AF43" s="592">
        <f>+'[3]Sales Taxes'!E43</f>
        <v>8183618</v>
      </c>
      <c r="AG43" s="597">
        <f t="shared" si="26"/>
        <v>90929086</v>
      </c>
      <c r="AH43" s="595">
        <f t="shared" si="15"/>
        <v>6061939067</v>
      </c>
      <c r="AI43" s="39">
        <f t="shared" si="27"/>
        <v>0.0136</v>
      </c>
      <c r="AJ43" s="39">
        <f t="shared" si="28"/>
        <v>0.0014</v>
      </c>
      <c r="AK43" s="752">
        <f>+'[3]Other Revenue'!N43</f>
        <v>3358797</v>
      </c>
      <c r="AL43" s="505">
        <f t="shared" si="14"/>
        <v>179970607</v>
      </c>
    </row>
    <row r="44" spans="1:38" ht="12.75">
      <c r="A44" s="33">
        <v>37</v>
      </c>
      <c r="B44" s="405" t="s">
        <v>42</v>
      </c>
      <c r="C44" s="401"/>
      <c r="D44" s="469">
        <f>+'[3]2000 Property Assessments'!C42</f>
        <v>392328530</v>
      </c>
      <c r="E44" s="587">
        <f>+'[3]2000 Property Assessments'!D42</f>
        <v>115356241</v>
      </c>
      <c r="F44" s="35">
        <f t="shared" si="16"/>
        <v>276972289</v>
      </c>
      <c r="G44" s="745">
        <f>+'[3]Ad Valorem Taxes'!C43</f>
        <v>5.17</v>
      </c>
      <c r="H44" s="469">
        <f>+'[3]Ad Valorem Taxes'!D43</f>
        <v>1349907</v>
      </c>
      <c r="I44" s="494">
        <f>+'[3]Ad Valorem Taxes'!E43</f>
        <v>24.09</v>
      </c>
      <c r="J44" s="469">
        <f>+'[3]Ad Valorem Taxes'!F43</f>
        <v>6289932</v>
      </c>
      <c r="K44" s="493">
        <f>+'[3]Ad Valorem Taxes'!G43</f>
        <v>0</v>
      </c>
      <c r="L44" s="493">
        <f>+'[3]Ad Valorem Taxes'!H43</f>
        <v>0</v>
      </c>
      <c r="M44" s="493">
        <f>+'[3]Ad Valorem Taxes'!I43</f>
        <v>0</v>
      </c>
      <c r="N44" s="469">
        <f>+'[3]Ad Valorem Taxes'!J43</f>
        <v>0</v>
      </c>
      <c r="O44" s="35">
        <f t="shared" si="17"/>
        <v>7639839</v>
      </c>
      <c r="P44" s="493">
        <f>+'[3]Ad Valorem Taxes'!L43</f>
        <v>0</v>
      </c>
      <c r="Q44" s="469">
        <f>+'[3]Ad Valorem Taxes'!M43</f>
        <v>0</v>
      </c>
      <c r="R44" s="493">
        <f>+'[3]Ad Valorem Taxes'!N43</f>
        <v>18.5</v>
      </c>
      <c r="S44" s="493">
        <f>+'[3]Ad Valorem Taxes'!O43</f>
        <v>30.4</v>
      </c>
      <c r="T44" s="495">
        <f>+'[3]Ad Valorem Taxes'!P43</f>
        <v>2</v>
      </c>
      <c r="U44" s="469">
        <f>+'[3]Ad Valorem Taxes'!Q43</f>
        <v>5891939</v>
      </c>
      <c r="V44" s="35">
        <f t="shared" si="18"/>
        <v>5891939</v>
      </c>
      <c r="W44" s="59">
        <f t="shared" si="19"/>
        <v>29.259999999999998</v>
      </c>
      <c r="X44" s="35">
        <f t="shared" si="20"/>
        <v>7639839</v>
      </c>
      <c r="Y44" s="35">
        <f t="shared" si="21"/>
        <v>5891939</v>
      </c>
      <c r="Z44" s="231">
        <f t="shared" si="22"/>
        <v>21.273</v>
      </c>
      <c r="AA44" s="231">
        <f t="shared" si="23"/>
        <v>27.583</v>
      </c>
      <c r="AB44" s="600">
        <f t="shared" si="24"/>
        <v>48.856</v>
      </c>
      <c r="AC44" s="606">
        <f t="shared" si="25"/>
        <v>13531778</v>
      </c>
      <c r="AD44" s="501">
        <f>+'[3]Sales Taxes'!C44</f>
        <v>0.03</v>
      </c>
      <c r="AE44" s="489">
        <f>+'[3]Sales Taxes'!D44</f>
        <v>28446972</v>
      </c>
      <c r="AF44" s="592">
        <f>+'[3]Sales Taxes'!E44</f>
        <v>0</v>
      </c>
      <c r="AG44" s="597">
        <f t="shared" si="26"/>
        <v>28446972</v>
      </c>
      <c r="AH44" s="505">
        <f t="shared" si="15"/>
        <v>948232400</v>
      </c>
      <c r="AI44" s="39">
        <f t="shared" si="27"/>
        <v>0.03</v>
      </c>
      <c r="AJ44" s="39">
        <f t="shared" si="28"/>
        <v>0</v>
      </c>
      <c r="AK44" s="752">
        <f>+'[3]Other Revenue'!N44</f>
        <v>776833</v>
      </c>
      <c r="AL44" s="505">
        <f t="shared" si="14"/>
        <v>42755583</v>
      </c>
    </row>
    <row r="45" spans="1:38" ht="12.75">
      <c r="A45" s="33">
        <v>38</v>
      </c>
      <c r="B45" s="405" t="s">
        <v>43</v>
      </c>
      <c r="C45" s="401"/>
      <c r="D45" s="469">
        <f>+'[3]2000 Property Assessments'!C43</f>
        <v>489840320</v>
      </c>
      <c r="E45" s="587">
        <f>+'[3]2000 Property Assessments'!D43</f>
        <v>29808955</v>
      </c>
      <c r="F45" s="35">
        <f t="shared" si="16"/>
        <v>460031365</v>
      </c>
      <c r="G45" s="745">
        <f>+'[3]Ad Valorem Taxes'!C44</f>
        <v>6.03</v>
      </c>
      <c r="H45" s="469">
        <f>+'[3]Ad Valorem Taxes'!D44</f>
        <v>2624933</v>
      </c>
      <c r="I45" s="494">
        <f>+'[3]Ad Valorem Taxes'!E44</f>
        <v>7.47</v>
      </c>
      <c r="J45" s="469">
        <f>+'[3]Ad Valorem Taxes'!F44</f>
        <v>3251752</v>
      </c>
      <c r="K45" s="493">
        <f>+'[3]Ad Valorem Taxes'!G44</f>
        <v>0</v>
      </c>
      <c r="L45" s="493">
        <f>+'[3]Ad Valorem Taxes'!H44</f>
        <v>0</v>
      </c>
      <c r="M45" s="493">
        <f>+'[3]Ad Valorem Taxes'!I44</f>
        <v>0</v>
      </c>
      <c r="N45" s="469">
        <f>+'[3]Ad Valorem Taxes'!J44</f>
        <v>0</v>
      </c>
      <c r="O45" s="35">
        <f t="shared" si="17"/>
        <v>5876685</v>
      </c>
      <c r="P45" s="493">
        <f>+'[3]Ad Valorem Taxes'!L44</f>
        <v>2.6</v>
      </c>
      <c r="Q45" s="469">
        <f>+'[3]Ad Valorem Taxes'!M44</f>
        <v>1127291</v>
      </c>
      <c r="R45" s="493">
        <f>+'[3]Ad Valorem Taxes'!N44</f>
        <v>0</v>
      </c>
      <c r="S45" s="493">
        <f>+'[3]Ad Valorem Taxes'!O44</f>
        <v>0</v>
      </c>
      <c r="T45" s="495">
        <f>+'[3]Ad Valorem Taxes'!P44</f>
        <v>0</v>
      </c>
      <c r="U45" s="469">
        <f>+'[3]Ad Valorem Taxes'!Q44</f>
        <v>0</v>
      </c>
      <c r="V45" s="35">
        <f t="shared" si="18"/>
        <v>1127291</v>
      </c>
      <c r="W45" s="59">
        <f t="shared" si="19"/>
        <v>16.1</v>
      </c>
      <c r="X45" s="35">
        <f t="shared" si="20"/>
        <v>7003976</v>
      </c>
      <c r="Y45" s="35">
        <f t="shared" si="21"/>
        <v>0</v>
      </c>
      <c r="Z45" s="231">
        <f t="shared" si="22"/>
        <v>2.45</v>
      </c>
      <c r="AA45" s="231">
        <f t="shared" si="23"/>
        <v>12.775</v>
      </c>
      <c r="AB45" s="600">
        <f t="shared" si="24"/>
        <v>15.225</v>
      </c>
      <c r="AC45" s="606">
        <f t="shared" si="25"/>
        <v>7003976</v>
      </c>
      <c r="AD45" s="501">
        <f>+'[3]Sales Taxes'!C45</f>
        <v>0.02</v>
      </c>
      <c r="AE45" s="489">
        <f>+'[3]Sales Taxes'!D45</f>
        <v>10239025</v>
      </c>
      <c r="AF45" s="592">
        <f>+'[3]Sales Taxes'!E45</f>
        <v>1117156</v>
      </c>
      <c r="AG45" s="597">
        <f t="shared" si="26"/>
        <v>11356181</v>
      </c>
      <c r="AH45" s="595">
        <f t="shared" si="15"/>
        <v>567809050</v>
      </c>
      <c r="AI45" s="39">
        <f t="shared" si="27"/>
        <v>0.018</v>
      </c>
      <c r="AJ45" s="39">
        <f t="shared" si="28"/>
        <v>0.002</v>
      </c>
      <c r="AK45" s="752">
        <f>+'[3]Other Revenue'!N45</f>
        <v>149852</v>
      </c>
      <c r="AL45" s="505">
        <f t="shared" si="14"/>
        <v>18510009</v>
      </c>
    </row>
    <row r="46" spans="1:38" ht="12.75">
      <c r="A46" s="33">
        <v>39</v>
      </c>
      <c r="B46" s="405" t="s">
        <v>44</v>
      </c>
      <c r="C46" s="401"/>
      <c r="D46" s="469">
        <f>+'[3]2000 Property Assessments'!C44</f>
        <v>227736619</v>
      </c>
      <c r="E46" s="587">
        <f>+'[3]2000 Property Assessments'!D44</f>
        <v>30689424</v>
      </c>
      <c r="F46" s="35">
        <f t="shared" si="16"/>
        <v>197047195</v>
      </c>
      <c r="G46" s="745">
        <f>+'[3]Ad Valorem Taxes'!C45</f>
        <v>4.54</v>
      </c>
      <c r="H46" s="469">
        <f>+'[3]Ad Valorem Taxes'!D45</f>
        <v>880595</v>
      </c>
      <c r="I46" s="494">
        <f>+'[3]Ad Valorem Taxes'!E45</f>
        <v>11.96</v>
      </c>
      <c r="J46" s="469">
        <f>+'[3]Ad Valorem Taxes'!F45</f>
        <v>2323461</v>
      </c>
      <c r="K46" s="493">
        <f>+'[3]Ad Valorem Taxes'!G45</f>
        <v>0</v>
      </c>
      <c r="L46" s="493">
        <f>+'[3]Ad Valorem Taxes'!H45</f>
        <v>0</v>
      </c>
      <c r="M46" s="493">
        <f>+'[3]Ad Valorem Taxes'!I45</f>
        <v>0</v>
      </c>
      <c r="N46" s="469">
        <f>+'[3]Ad Valorem Taxes'!J45</f>
        <v>0</v>
      </c>
      <c r="O46" s="35">
        <f t="shared" si="17"/>
        <v>3204056</v>
      </c>
      <c r="P46" s="493">
        <f>+'[3]Ad Valorem Taxes'!L45</f>
        <v>0</v>
      </c>
      <c r="Q46" s="469">
        <f>+'[3]Ad Valorem Taxes'!M45</f>
        <v>0</v>
      </c>
      <c r="R46" s="493">
        <f>+'[3]Ad Valorem Taxes'!N45</f>
        <v>2.56</v>
      </c>
      <c r="S46" s="493">
        <f>+'[3]Ad Valorem Taxes'!O45</f>
        <v>12.28</v>
      </c>
      <c r="T46" s="495">
        <f>+'[3]Ad Valorem Taxes'!P45</f>
        <v>2</v>
      </c>
      <c r="U46" s="469">
        <f>+'[3]Ad Valorem Taxes'!Q45</f>
        <v>640369</v>
      </c>
      <c r="V46" s="35">
        <f t="shared" si="18"/>
        <v>640369</v>
      </c>
      <c r="W46" s="59">
        <f t="shared" si="19"/>
        <v>16.5</v>
      </c>
      <c r="X46" s="35">
        <f t="shared" si="20"/>
        <v>3204056</v>
      </c>
      <c r="Y46" s="35">
        <f t="shared" si="21"/>
        <v>640369</v>
      </c>
      <c r="Z46" s="231">
        <f t="shared" si="22"/>
        <v>3.25</v>
      </c>
      <c r="AA46" s="231">
        <f t="shared" si="23"/>
        <v>16.26</v>
      </c>
      <c r="AB46" s="600">
        <f t="shared" si="24"/>
        <v>19.51</v>
      </c>
      <c r="AC46" s="606">
        <f t="shared" si="25"/>
        <v>3844425</v>
      </c>
      <c r="AD46" s="501">
        <f>+'[3]Sales Taxes'!C46</f>
        <v>0.02</v>
      </c>
      <c r="AE46" s="489">
        <f>+'[3]Sales Taxes'!D46</f>
        <v>5231414</v>
      </c>
      <c r="AF46" s="592">
        <f>+'[3]Sales Taxes'!E46</f>
        <v>0</v>
      </c>
      <c r="AG46" s="597">
        <f t="shared" si="26"/>
        <v>5231414</v>
      </c>
      <c r="AH46" s="595">
        <f t="shared" si="15"/>
        <v>261570700</v>
      </c>
      <c r="AI46" s="39">
        <f t="shared" si="27"/>
        <v>0.02</v>
      </c>
      <c r="AJ46" s="39">
        <f t="shared" si="28"/>
        <v>0</v>
      </c>
      <c r="AK46" s="752">
        <f>+'[3]Other Revenue'!N46</f>
        <v>161239</v>
      </c>
      <c r="AL46" s="505">
        <f t="shared" si="14"/>
        <v>9237078</v>
      </c>
    </row>
    <row r="47" spans="1:38" ht="12.75">
      <c r="A47" s="47">
        <v>40</v>
      </c>
      <c r="B47" s="406" t="s">
        <v>45</v>
      </c>
      <c r="C47" s="402"/>
      <c r="D47" s="472">
        <f>+'[3]2000 Property Assessments'!C45</f>
        <v>540050308</v>
      </c>
      <c r="E47" s="588">
        <f>+'[3]2000 Property Assessments'!D45</f>
        <v>139146550</v>
      </c>
      <c r="F47" s="49">
        <f t="shared" si="16"/>
        <v>400903758</v>
      </c>
      <c r="G47" s="746">
        <f>+'[3]Ad Valorem Taxes'!C46</f>
        <v>4.77</v>
      </c>
      <c r="H47" s="472">
        <f>+'[3]Ad Valorem Taxes'!D46</f>
        <v>1882999</v>
      </c>
      <c r="I47" s="497">
        <f>+'[3]Ad Valorem Taxes'!E46</f>
        <v>20.93</v>
      </c>
      <c r="J47" s="472">
        <f>+'[3]Ad Valorem Taxes'!F46</f>
        <v>8263954</v>
      </c>
      <c r="K47" s="496">
        <f>+'[3]Ad Valorem Taxes'!G46</f>
        <v>3.04</v>
      </c>
      <c r="L47" s="496">
        <f>+'[3]Ad Valorem Taxes'!H46</f>
        <v>24.15</v>
      </c>
      <c r="M47" s="496">
        <f>+'[3]Ad Valorem Taxes'!I46</f>
        <v>13</v>
      </c>
      <c r="N47" s="472">
        <f>+'[3]Ad Valorem Taxes'!J46</f>
        <v>3672886</v>
      </c>
      <c r="O47" s="49">
        <f t="shared" si="17"/>
        <v>13819839</v>
      </c>
      <c r="P47" s="496">
        <f>+'[3]Ad Valorem Taxes'!L46</f>
        <v>0</v>
      </c>
      <c r="Q47" s="472">
        <f>+'[3]Ad Valorem Taxes'!M46</f>
        <v>0</v>
      </c>
      <c r="R47" s="496">
        <f>+'[3]Ad Valorem Taxes'!N46</f>
        <v>5</v>
      </c>
      <c r="S47" s="496">
        <f>+'[3]Ad Valorem Taxes'!O46</f>
        <v>86</v>
      </c>
      <c r="T47" s="498">
        <f>+'[3]Ad Valorem Taxes'!P46</f>
        <v>12</v>
      </c>
      <c r="U47" s="472">
        <f>+'[3]Ad Valorem Taxes'!Q46</f>
        <v>11421700</v>
      </c>
      <c r="V47" s="49">
        <f t="shared" si="18"/>
        <v>11421700</v>
      </c>
      <c r="W47" s="60">
        <f t="shared" si="19"/>
        <v>25.7</v>
      </c>
      <c r="X47" s="49">
        <f t="shared" si="20"/>
        <v>10146953</v>
      </c>
      <c r="Y47" s="49">
        <f t="shared" si="21"/>
        <v>15094586</v>
      </c>
      <c r="Z47" s="232">
        <f t="shared" si="22"/>
        <v>28.49</v>
      </c>
      <c r="AA47" s="232">
        <f t="shared" si="23"/>
        <v>34.472</v>
      </c>
      <c r="AB47" s="601">
        <f t="shared" si="24"/>
        <v>62.962</v>
      </c>
      <c r="AC47" s="607">
        <f t="shared" si="25"/>
        <v>25241539</v>
      </c>
      <c r="AD47" s="502">
        <f>+'[3]Sales Taxes'!C47</f>
        <v>0.015</v>
      </c>
      <c r="AE47" s="490">
        <f>+'[3]Sales Taxes'!D47</f>
        <v>27750776</v>
      </c>
      <c r="AF47" s="593">
        <f>+'[3]Sales Taxes'!E47</f>
        <v>0</v>
      </c>
      <c r="AG47" s="598">
        <f t="shared" si="26"/>
        <v>27750776</v>
      </c>
      <c r="AH47" s="596">
        <f t="shared" si="15"/>
        <v>1850051733</v>
      </c>
      <c r="AI47" s="52">
        <f t="shared" si="27"/>
        <v>0.015</v>
      </c>
      <c r="AJ47" s="52">
        <f t="shared" si="28"/>
        <v>0</v>
      </c>
      <c r="AK47" s="755">
        <f>+'[3]Other Revenue'!N47</f>
        <v>1110582</v>
      </c>
      <c r="AL47" s="584">
        <f t="shared" si="14"/>
        <v>54102897</v>
      </c>
    </row>
    <row r="48" spans="1:38" ht="12.75">
      <c r="A48" s="33">
        <v>41</v>
      </c>
      <c r="B48" s="405" t="s">
        <v>46</v>
      </c>
      <c r="C48" s="401"/>
      <c r="D48" s="469">
        <f>+'[3]2000 Property Assessments'!C46</f>
        <v>34949490</v>
      </c>
      <c r="E48" s="587">
        <f>+'[3]2000 Property Assessments'!D46</f>
        <v>8656520</v>
      </c>
      <c r="F48" s="35">
        <f t="shared" si="16"/>
        <v>26292970</v>
      </c>
      <c r="G48" s="745">
        <f>+'[3]Ad Valorem Taxes'!C47</f>
        <v>4.58</v>
      </c>
      <c r="H48" s="469">
        <f>+'[3]Ad Valorem Taxes'!D47</f>
        <v>120422</v>
      </c>
      <c r="I48" s="494">
        <f>+'[3]Ad Valorem Taxes'!E47</f>
        <v>36.62</v>
      </c>
      <c r="J48" s="469">
        <f>+'[3]Ad Valorem Taxes'!F47</f>
        <v>962848</v>
      </c>
      <c r="K48" s="493">
        <f>+'[3]Ad Valorem Taxes'!G47</f>
        <v>0</v>
      </c>
      <c r="L48" s="493">
        <f>+'[3]Ad Valorem Taxes'!H47</f>
        <v>0</v>
      </c>
      <c r="M48" s="493">
        <f>+'[3]Ad Valorem Taxes'!I47</f>
        <v>0</v>
      </c>
      <c r="N48" s="469">
        <f>+'[3]Ad Valorem Taxes'!J47</f>
        <v>0</v>
      </c>
      <c r="O48" s="35">
        <f t="shared" si="17"/>
        <v>1083270</v>
      </c>
      <c r="P48" s="493">
        <f>+'[3]Ad Valorem Taxes'!L47</f>
        <v>42</v>
      </c>
      <c r="Q48" s="469">
        <f>+'[3]Ad Valorem Taxes'!M47</f>
        <v>1104305</v>
      </c>
      <c r="R48" s="493">
        <f>+'[3]Ad Valorem Taxes'!N47</f>
        <v>0</v>
      </c>
      <c r="S48" s="493">
        <f>+'[3]Ad Valorem Taxes'!O47</f>
        <v>0</v>
      </c>
      <c r="T48" s="495">
        <f>+'[3]Ad Valorem Taxes'!P47</f>
        <v>0</v>
      </c>
      <c r="U48" s="469">
        <f>+'[3]Ad Valorem Taxes'!Q47</f>
        <v>0</v>
      </c>
      <c r="V48" s="35">
        <f t="shared" si="18"/>
        <v>1104305</v>
      </c>
      <c r="W48" s="59">
        <f t="shared" si="19"/>
        <v>83.19999999999999</v>
      </c>
      <c r="X48" s="35">
        <f t="shared" si="20"/>
        <v>2187575</v>
      </c>
      <c r="Y48" s="35">
        <f t="shared" si="21"/>
        <v>0</v>
      </c>
      <c r="Z48" s="231">
        <f t="shared" si="22"/>
        <v>42</v>
      </c>
      <c r="AA48" s="231">
        <f t="shared" si="23"/>
        <v>41.2</v>
      </c>
      <c r="AB48" s="600">
        <f t="shared" si="24"/>
        <v>83.2</v>
      </c>
      <c r="AC48" s="606">
        <f t="shared" si="25"/>
        <v>2187575</v>
      </c>
      <c r="AD48" s="501">
        <f>+'[3]Sales Taxes'!C48</f>
        <v>0.02</v>
      </c>
      <c r="AE48" s="489">
        <f>+'[3]Sales Taxes'!D48</f>
        <v>1155689</v>
      </c>
      <c r="AF48" s="592">
        <f>+'[3]Sales Taxes'!E48</f>
        <v>0</v>
      </c>
      <c r="AG48" s="597">
        <f t="shared" si="26"/>
        <v>1155689</v>
      </c>
      <c r="AH48" s="595">
        <f t="shared" si="15"/>
        <v>57784450</v>
      </c>
      <c r="AI48" s="39">
        <f t="shared" si="27"/>
        <v>0.02</v>
      </c>
      <c r="AJ48" s="39">
        <f t="shared" si="28"/>
        <v>0</v>
      </c>
      <c r="AK48" s="752">
        <f>+'[3]Other Revenue'!N48</f>
        <v>48521.5</v>
      </c>
      <c r="AL48" s="505">
        <f t="shared" si="14"/>
        <v>3391785.5</v>
      </c>
    </row>
    <row r="49" spans="1:38" ht="12.75">
      <c r="A49" s="33">
        <v>42</v>
      </c>
      <c r="B49" s="405" t="s">
        <v>47</v>
      </c>
      <c r="C49" s="401"/>
      <c r="D49" s="469">
        <f>+'[3]2000 Property Assessments'!C47</f>
        <v>75069210</v>
      </c>
      <c r="E49" s="587">
        <f>+'[3]2000 Property Assessments'!D47</f>
        <v>21203630</v>
      </c>
      <c r="F49" s="35">
        <f t="shared" si="16"/>
        <v>53865580</v>
      </c>
      <c r="G49" s="745">
        <f>+'[3]Ad Valorem Taxes'!C48</f>
        <v>6.42</v>
      </c>
      <c r="H49" s="469">
        <f>+'[3]Ad Valorem Taxes'!D48</f>
        <v>325697</v>
      </c>
      <c r="I49" s="494">
        <f>+'[3]Ad Valorem Taxes'!E48</f>
        <v>6.87</v>
      </c>
      <c r="J49" s="469">
        <f>+'[3]Ad Valorem Taxes'!F48</f>
        <v>348620</v>
      </c>
      <c r="K49" s="493">
        <f>+'[3]Ad Valorem Taxes'!G48</f>
        <v>0</v>
      </c>
      <c r="L49" s="493">
        <f>+'[3]Ad Valorem Taxes'!H48</f>
        <v>0</v>
      </c>
      <c r="M49" s="493">
        <f>+'[3]Ad Valorem Taxes'!I48</f>
        <v>3</v>
      </c>
      <c r="N49" s="469">
        <f>+'[3]Ad Valorem Taxes'!J48</f>
        <v>0</v>
      </c>
      <c r="O49" s="35">
        <f t="shared" si="17"/>
        <v>674317</v>
      </c>
      <c r="P49" s="493">
        <f>+'[3]Ad Valorem Taxes'!L48</f>
        <v>0</v>
      </c>
      <c r="Q49" s="469">
        <f>+'[3]Ad Valorem Taxes'!M48</f>
        <v>0</v>
      </c>
      <c r="R49" s="493">
        <f>+'[3]Ad Valorem Taxes'!N48</f>
        <v>30</v>
      </c>
      <c r="S49" s="493">
        <f>+'[3]Ad Valorem Taxes'!O48</f>
        <v>54</v>
      </c>
      <c r="T49" s="495">
        <f>+'[3]Ad Valorem Taxes'!P48</f>
        <v>3</v>
      </c>
      <c r="U49" s="469">
        <f>+'[3]Ad Valorem Taxes'!Q48</f>
        <v>1379789</v>
      </c>
      <c r="V49" s="35">
        <f t="shared" si="18"/>
        <v>1379789</v>
      </c>
      <c r="W49" s="59">
        <f t="shared" si="19"/>
        <v>13.29</v>
      </c>
      <c r="X49" s="35">
        <f t="shared" si="20"/>
        <v>674317</v>
      </c>
      <c r="Y49" s="35">
        <f t="shared" si="21"/>
        <v>1379789</v>
      </c>
      <c r="Z49" s="231">
        <f t="shared" si="22"/>
        <v>25.615</v>
      </c>
      <c r="AA49" s="231">
        <f t="shared" si="23"/>
        <v>12.519</v>
      </c>
      <c r="AB49" s="600">
        <f t="shared" si="24"/>
        <v>38.134</v>
      </c>
      <c r="AC49" s="606">
        <f t="shared" si="25"/>
        <v>2054106</v>
      </c>
      <c r="AD49" s="501">
        <f>+'[3]Sales Taxes'!C49</f>
        <v>0.0188</v>
      </c>
      <c r="AE49" s="489">
        <f>+'[3]Sales Taxes'!D49</f>
        <v>2934287</v>
      </c>
      <c r="AF49" s="592">
        <f>+'[3]Sales Taxes'!E49</f>
        <v>0</v>
      </c>
      <c r="AG49" s="597">
        <f t="shared" si="26"/>
        <v>2934287</v>
      </c>
      <c r="AH49" s="595">
        <f t="shared" si="15"/>
        <v>156079096</v>
      </c>
      <c r="AI49" s="39">
        <f t="shared" si="27"/>
        <v>0.0188</v>
      </c>
      <c r="AJ49" s="39">
        <f t="shared" si="28"/>
        <v>0</v>
      </c>
      <c r="AK49" s="752">
        <f>+'[3]Other Revenue'!N49</f>
        <v>246118.5</v>
      </c>
      <c r="AL49" s="505">
        <f t="shared" si="14"/>
        <v>5234511.5</v>
      </c>
    </row>
    <row r="50" spans="1:38" ht="12.75">
      <c r="A50" s="33">
        <v>43</v>
      </c>
      <c r="B50" s="405" t="s">
        <v>48</v>
      </c>
      <c r="C50" s="401"/>
      <c r="D50" s="469">
        <f>+'[3]2000 Property Assessments'!C48</f>
        <v>92292220</v>
      </c>
      <c r="E50" s="587">
        <f>+'[3]2000 Property Assessments'!D48</f>
        <v>24801570</v>
      </c>
      <c r="F50" s="35">
        <f t="shared" si="16"/>
        <v>67490650</v>
      </c>
      <c r="G50" s="745">
        <f>+'[3]Ad Valorem Taxes'!C49</f>
        <v>4.74</v>
      </c>
      <c r="H50" s="469">
        <f>+'[3]Ad Valorem Taxes'!D49</f>
        <v>313859</v>
      </c>
      <c r="I50" s="494">
        <f>+'[3]Ad Valorem Taxes'!E49</f>
        <v>8</v>
      </c>
      <c r="J50" s="469">
        <f>+'[3]Ad Valorem Taxes'!F49</f>
        <v>529720</v>
      </c>
      <c r="K50" s="493">
        <f>+'[3]Ad Valorem Taxes'!G49</f>
        <v>7.44</v>
      </c>
      <c r="L50" s="493">
        <f>+'[3]Ad Valorem Taxes'!H49</f>
        <v>12.2</v>
      </c>
      <c r="M50" s="493">
        <f>+'[3]Ad Valorem Taxes'!I49</f>
        <v>7</v>
      </c>
      <c r="N50" s="469">
        <f>+'[3]Ad Valorem Taxes'!J49</f>
        <v>555143</v>
      </c>
      <c r="O50" s="35">
        <f t="shared" si="17"/>
        <v>1398722</v>
      </c>
      <c r="P50" s="493">
        <f>+'[3]Ad Valorem Taxes'!L49</f>
        <v>0</v>
      </c>
      <c r="Q50" s="469">
        <f>+'[3]Ad Valorem Taxes'!M49</f>
        <v>0</v>
      </c>
      <c r="R50" s="493">
        <f>+'[3]Ad Valorem Taxes'!N49</f>
        <v>5</v>
      </c>
      <c r="S50" s="493">
        <f>+'[3]Ad Valorem Taxes'!O49</f>
        <v>52</v>
      </c>
      <c r="T50" s="495">
        <f>+'[3]Ad Valorem Taxes'!P49</f>
        <v>7</v>
      </c>
      <c r="U50" s="469">
        <f>+'[3]Ad Valorem Taxes'!Q49</f>
        <v>1848927</v>
      </c>
      <c r="V50" s="35">
        <f t="shared" si="18"/>
        <v>1848927</v>
      </c>
      <c r="W50" s="59">
        <f t="shared" si="19"/>
        <v>12.74</v>
      </c>
      <c r="X50" s="35">
        <f t="shared" si="20"/>
        <v>843579</v>
      </c>
      <c r="Y50" s="35">
        <f t="shared" si="21"/>
        <v>2404070</v>
      </c>
      <c r="Z50" s="231">
        <f t="shared" si="22"/>
        <v>27.395</v>
      </c>
      <c r="AA50" s="231">
        <f t="shared" si="23"/>
        <v>20.725</v>
      </c>
      <c r="AB50" s="600">
        <f t="shared" si="24"/>
        <v>48.12</v>
      </c>
      <c r="AC50" s="606">
        <f t="shared" si="25"/>
        <v>3247649</v>
      </c>
      <c r="AD50" s="501">
        <f>+'[3]Sales Taxes'!C50</f>
        <v>0.015</v>
      </c>
      <c r="AE50" s="489">
        <f>+'[3]Sales Taxes'!D50</f>
        <v>2998573</v>
      </c>
      <c r="AF50" s="592">
        <f>+'[3]Sales Taxes'!E50</f>
        <v>0</v>
      </c>
      <c r="AG50" s="597">
        <f t="shared" si="26"/>
        <v>2998573</v>
      </c>
      <c r="AH50" s="595">
        <f t="shared" si="15"/>
        <v>199904867</v>
      </c>
      <c r="AI50" s="39">
        <f t="shared" si="27"/>
        <v>0.015</v>
      </c>
      <c r="AJ50" s="39">
        <f t="shared" si="28"/>
        <v>0</v>
      </c>
      <c r="AK50" s="752">
        <f>+'[3]Other Revenue'!N50</f>
        <v>161290</v>
      </c>
      <c r="AL50" s="505">
        <f t="shared" si="14"/>
        <v>6407512</v>
      </c>
    </row>
    <row r="51" spans="1:38" ht="12.75">
      <c r="A51" s="33">
        <v>44</v>
      </c>
      <c r="B51" s="405" t="s">
        <v>49</v>
      </c>
      <c r="C51" s="401"/>
      <c r="D51" s="469">
        <f>+'[3]2000 Property Assessments'!C49</f>
        <v>310696599</v>
      </c>
      <c r="E51" s="587">
        <f>+'[3]2000 Property Assessments'!D49</f>
        <v>109200217</v>
      </c>
      <c r="F51" s="35">
        <f t="shared" si="16"/>
        <v>201496382</v>
      </c>
      <c r="G51" s="745">
        <f>+'[3]Ad Valorem Taxes'!C50</f>
        <v>3.75</v>
      </c>
      <c r="H51" s="469">
        <f>+'[3]Ad Valorem Taxes'!D50</f>
        <v>744886</v>
      </c>
      <c r="I51" s="494">
        <f>+'[3]Ad Valorem Taxes'!E50</f>
        <v>31.25</v>
      </c>
      <c r="J51" s="469">
        <f>+'[3]Ad Valorem Taxes'!F50</f>
        <v>6207384</v>
      </c>
      <c r="K51" s="493">
        <f>+'[3]Ad Valorem Taxes'!G50</f>
        <v>0</v>
      </c>
      <c r="L51" s="493">
        <f>+'[3]Ad Valorem Taxes'!H50</f>
        <v>0</v>
      </c>
      <c r="M51" s="493">
        <f>+'[3]Ad Valorem Taxes'!I50</f>
        <v>0</v>
      </c>
      <c r="N51" s="469">
        <f>+'[3]Ad Valorem Taxes'!J50</f>
        <v>0</v>
      </c>
      <c r="O51" s="35">
        <f t="shared" si="17"/>
        <v>6952270</v>
      </c>
      <c r="P51" s="493">
        <f>+'[3]Ad Valorem Taxes'!L50</f>
        <v>13.25</v>
      </c>
      <c r="Q51" s="469">
        <f>+'[3]Ad Valorem Taxes'!M50</f>
        <v>2631978</v>
      </c>
      <c r="R51" s="493">
        <f>+'[3]Ad Valorem Taxes'!N50</f>
        <v>0</v>
      </c>
      <c r="S51" s="493">
        <f>+'[3]Ad Valorem Taxes'!O50</f>
        <v>0</v>
      </c>
      <c r="T51" s="495">
        <f>+'[3]Ad Valorem Taxes'!P50</f>
        <v>0</v>
      </c>
      <c r="U51" s="469">
        <f>+'[3]Ad Valorem Taxes'!Q50</f>
        <v>0</v>
      </c>
      <c r="V51" s="35">
        <f t="shared" si="18"/>
        <v>2631978</v>
      </c>
      <c r="W51" s="59">
        <f t="shared" si="19"/>
        <v>48.25</v>
      </c>
      <c r="X51" s="35">
        <f t="shared" si="20"/>
        <v>9584248</v>
      </c>
      <c r="Y51" s="35">
        <f t="shared" si="21"/>
        <v>0</v>
      </c>
      <c r="Z51" s="231">
        <f t="shared" si="22"/>
        <v>13.062</v>
      </c>
      <c r="AA51" s="231">
        <f t="shared" si="23"/>
        <v>34.503</v>
      </c>
      <c r="AB51" s="600">
        <f t="shared" si="24"/>
        <v>47.565</v>
      </c>
      <c r="AC51" s="606">
        <f t="shared" si="25"/>
        <v>9584248</v>
      </c>
      <c r="AD51" s="501">
        <f>+'[3]Sales Taxes'!C51</f>
        <v>0.02</v>
      </c>
      <c r="AE51" s="489">
        <f>+'[3]Sales Taxes'!D51</f>
        <v>12634924</v>
      </c>
      <c r="AF51" s="592">
        <f>+'[3]Sales Taxes'!E51</f>
        <v>601614</v>
      </c>
      <c r="AG51" s="597">
        <f t="shared" si="26"/>
        <v>13236538</v>
      </c>
      <c r="AH51" s="595">
        <f t="shared" si="15"/>
        <v>661826900</v>
      </c>
      <c r="AI51" s="39">
        <f t="shared" si="27"/>
        <v>0.0191</v>
      </c>
      <c r="AJ51" s="39">
        <f t="shared" si="28"/>
        <v>0.0009</v>
      </c>
      <c r="AK51" s="752">
        <f>+'[3]Other Revenue'!N51</f>
        <v>357711</v>
      </c>
      <c r="AL51" s="505">
        <f t="shared" si="14"/>
        <v>23178497</v>
      </c>
    </row>
    <row r="52" spans="1:38" ht="12.75">
      <c r="A52" s="47">
        <v>45</v>
      </c>
      <c r="B52" s="406" t="s">
        <v>50</v>
      </c>
      <c r="C52" s="402"/>
      <c r="D52" s="472">
        <f>+'[3]2000 Property Assessments'!C50</f>
        <v>710902953</v>
      </c>
      <c r="E52" s="588">
        <f>+'[3]2000 Property Assessments'!D50</f>
        <v>74530508</v>
      </c>
      <c r="F52" s="49">
        <f t="shared" si="16"/>
        <v>636372445</v>
      </c>
      <c r="G52" s="746">
        <f>+'[3]Ad Valorem Taxes'!C51</f>
        <v>4.07</v>
      </c>
      <c r="H52" s="472">
        <f>+'[3]Ad Valorem Taxes'!D51</f>
        <v>2574331</v>
      </c>
      <c r="I52" s="497">
        <f>+'[3]Ad Valorem Taxes'!E51</f>
        <v>44.16</v>
      </c>
      <c r="J52" s="472">
        <f>+'[3]Ad Valorem Taxes'!F51</f>
        <v>27257076</v>
      </c>
      <c r="K52" s="496">
        <f>+'[3]Ad Valorem Taxes'!G51</f>
        <v>0</v>
      </c>
      <c r="L52" s="496">
        <f>+'[3]Ad Valorem Taxes'!H51</f>
        <v>0</v>
      </c>
      <c r="M52" s="496">
        <f>+'[3]Ad Valorem Taxes'!I51</f>
        <v>0</v>
      </c>
      <c r="N52" s="472">
        <f>+'[3]Ad Valorem Taxes'!J51</f>
        <v>0</v>
      </c>
      <c r="O52" s="49">
        <f t="shared" si="17"/>
        <v>29831407</v>
      </c>
      <c r="P52" s="496">
        <f>+'[3]Ad Valorem Taxes'!L51</f>
        <v>6.86</v>
      </c>
      <c r="Q52" s="472">
        <f>+'[3]Ad Valorem Taxes'!M51</f>
        <v>4344068</v>
      </c>
      <c r="R52" s="496">
        <f>+'[3]Ad Valorem Taxes'!N51</f>
        <v>0</v>
      </c>
      <c r="S52" s="496">
        <f>+'[3]Ad Valorem Taxes'!O51</f>
        <v>0</v>
      </c>
      <c r="T52" s="498">
        <f>+'[3]Ad Valorem Taxes'!P51</f>
        <v>0</v>
      </c>
      <c r="U52" s="472">
        <f>+'[3]Ad Valorem Taxes'!Q51</f>
        <v>0</v>
      </c>
      <c r="V52" s="49">
        <f t="shared" si="18"/>
        <v>4344068</v>
      </c>
      <c r="W52" s="60">
        <f t="shared" si="19"/>
        <v>55.089999999999996</v>
      </c>
      <c r="X52" s="49">
        <f t="shared" si="20"/>
        <v>34175475</v>
      </c>
      <c r="Y52" s="49">
        <f t="shared" si="21"/>
        <v>0</v>
      </c>
      <c r="Z52" s="232">
        <f t="shared" si="22"/>
        <v>6.826</v>
      </c>
      <c r="AA52" s="232">
        <f t="shared" si="23"/>
        <v>46.877</v>
      </c>
      <c r="AB52" s="601">
        <f t="shared" si="24"/>
        <v>53.704</v>
      </c>
      <c r="AC52" s="607">
        <f t="shared" si="25"/>
        <v>34175475</v>
      </c>
      <c r="AD52" s="502">
        <f>+'[3]Sales Taxes'!C52</f>
        <v>0.02</v>
      </c>
      <c r="AE52" s="490">
        <f>+'[3]Sales Taxes'!D52</f>
        <v>16871427</v>
      </c>
      <c r="AF52" s="593">
        <f>+'[3]Sales Taxes'!E52</f>
        <v>1367916</v>
      </c>
      <c r="AG52" s="598">
        <f t="shared" si="26"/>
        <v>18239343</v>
      </c>
      <c r="AH52" s="596">
        <f aca="true" t="shared" si="29" ref="AH52:AH73">ROUND(AG52/AD52,0)</f>
        <v>911967150</v>
      </c>
      <c r="AI52" s="52">
        <f t="shared" si="27"/>
        <v>0.0185</v>
      </c>
      <c r="AJ52" s="52">
        <f t="shared" si="28"/>
        <v>0.0015</v>
      </c>
      <c r="AK52" s="755">
        <f>+'[3]Other Revenue'!N52</f>
        <v>287028</v>
      </c>
      <c r="AL52" s="584">
        <f t="shared" si="14"/>
        <v>52701846</v>
      </c>
    </row>
    <row r="53" spans="1:38" ht="12.75">
      <c r="A53" s="33">
        <v>46</v>
      </c>
      <c r="B53" s="405" t="s">
        <v>51</v>
      </c>
      <c r="C53" s="401"/>
      <c r="D53" s="469">
        <f>+'[3]2000 Property Assessments'!C51</f>
        <v>42224600</v>
      </c>
      <c r="E53" s="587">
        <f>+'[3]2000 Property Assessments'!D51</f>
        <v>12502660</v>
      </c>
      <c r="F53" s="35">
        <f t="shared" si="16"/>
        <v>29721940</v>
      </c>
      <c r="G53" s="745">
        <f>+'[3]Ad Valorem Taxes'!C52</f>
        <v>3.38</v>
      </c>
      <c r="H53" s="469">
        <f>+'[3]Ad Valorem Taxes'!D52</f>
        <v>95448</v>
      </c>
      <c r="I53" s="494">
        <f>+'[3]Ad Valorem Taxes'!E52</f>
        <v>14.48</v>
      </c>
      <c r="J53" s="469">
        <f>+'[3]Ad Valorem Taxes'!F52</f>
        <v>400710</v>
      </c>
      <c r="K53" s="493">
        <f>+'[3]Ad Valorem Taxes'!G52</f>
        <v>0</v>
      </c>
      <c r="L53" s="493">
        <f>+'[3]Ad Valorem Taxes'!H52</f>
        <v>0</v>
      </c>
      <c r="M53" s="493">
        <f>+'[3]Ad Valorem Taxes'!I52</f>
        <v>6</v>
      </c>
      <c r="N53" s="469">
        <f>+'[3]Ad Valorem Taxes'!J52</f>
        <v>0</v>
      </c>
      <c r="O53" s="35">
        <f t="shared" si="17"/>
        <v>496158</v>
      </c>
      <c r="P53" s="493">
        <f>+'[3]Ad Valorem Taxes'!L52</f>
        <v>0</v>
      </c>
      <c r="Q53" s="469">
        <f>+'[3]Ad Valorem Taxes'!M52</f>
        <v>0</v>
      </c>
      <c r="R53" s="493">
        <f>+'[3]Ad Valorem Taxes'!N52</f>
        <v>0</v>
      </c>
      <c r="S53" s="493">
        <f>+'[3]Ad Valorem Taxes'!O52</f>
        <v>0</v>
      </c>
      <c r="T53" s="495">
        <f>+'[3]Ad Valorem Taxes'!P52</f>
        <v>6</v>
      </c>
      <c r="U53" s="469">
        <f>+'[3]Ad Valorem Taxes'!Q52</f>
        <v>0</v>
      </c>
      <c r="V53" s="35">
        <f t="shared" si="18"/>
        <v>0</v>
      </c>
      <c r="W53" s="59">
        <f t="shared" si="19"/>
        <v>17.86</v>
      </c>
      <c r="X53" s="35">
        <f t="shared" si="20"/>
        <v>496158</v>
      </c>
      <c r="Y53" s="35">
        <f t="shared" si="21"/>
        <v>0</v>
      </c>
      <c r="Z53" s="231">
        <f t="shared" si="22"/>
        <v>0</v>
      </c>
      <c r="AA53" s="231">
        <f t="shared" si="23"/>
        <v>16.693</v>
      </c>
      <c r="AB53" s="600">
        <f t="shared" si="24"/>
        <v>16.693</v>
      </c>
      <c r="AC53" s="606">
        <f t="shared" si="25"/>
        <v>496158</v>
      </c>
      <c r="AD53" s="501">
        <f>+'[3]Sales Taxes'!C53</f>
        <v>0.02</v>
      </c>
      <c r="AE53" s="489">
        <f>+'[3]Sales Taxes'!D53</f>
        <v>936627</v>
      </c>
      <c r="AF53" s="592">
        <f>+'[3]Sales Taxes'!E53</f>
        <v>0</v>
      </c>
      <c r="AG53" s="597">
        <f t="shared" si="26"/>
        <v>936627</v>
      </c>
      <c r="AH53" s="595">
        <f t="shared" si="29"/>
        <v>46831350</v>
      </c>
      <c r="AI53" s="39">
        <f t="shared" si="27"/>
        <v>0.02</v>
      </c>
      <c r="AJ53" s="39">
        <f t="shared" si="28"/>
        <v>0</v>
      </c>
      <c r="AK53" s="752">
        <f>+'[3]Other Revenue'!N53</f>
        <v>31084</v>
      </c>
      <c r="AL53" s="505">
        <f t="shared" si="14"/>
        <v>1463869</v>
      </c>
    </row>
    <row r="54" spans="1:38" ht="12.75">
      <c r="A54" s="33">
        <v>47</v>
      </c>
      <c r="B54" s="405" t="s">
        <v>52</v>
      </c>
      <c r="C54" s="401"/>
      <c r="D54" s="469">
        <f>+'[3]2000 Property Assessments'!C52</f>
        <v>251541406</v>
      </c>
      <c r="E54" s="587">
        <f>+'[3]2000 Property Assessments'!D52</f>
        <v>28553165</v>
      </c>
      <c r="F54" s="35">
        <f t="shared" si="16"/>
        <v>222988241</v>
      </c>
      <c r="G54" s="745">
        <f>+'[3]Ad Valorem Taxes'!C53</f>
        <v>4.02</v>
      </c>
      <c r="H54" s="469">
        <f>+'[3]Ad Valorem Taxes'!D53</f>
        <v>923192</v>
      </c>
      <c r="I54" s="494">
        <f>+'[3]Ad Valorem Taxes'!E53</f>
        <v>24.04</v>
      </c>
      <c r="J54" s="469">
        <f>+'[3]Ad Valorem Taxes'!F53</f>
        <v>5648800</v>
      </c>
      <c r="K54" s="493">
        <f>+'[3]Ad Valorem Taxes'!G53</f>
        <v>0</v>
      </c>
      <c r="L54" s="493">
        <f>+'[3]Ad Valorem Taxes'!H53</f>
        <v>0</v>
      </c>
      <c r="M54" s="493">
        <f>+'[3]Ad Valorem Taxes'!I53</f>
        <v>0</v>
      </c>
      <c r="N54" s="469">
        <f>+'[3]Ad Valorem Taxes'!J53</f>
        <v>0</v>
      </c>
      <c r="O54" s="35">
        <f t="shared" si="17"/>
        <v>6571992</v>
      </c>
      <c r="P54" s="493">
        <f>+'[3]Ad Valorem Taxes'!L53</f>
        <v>10</v>
      </c>
      <c r="Q54" s="469">
        <f>+'[3]Ad Valorem Taxes'!M53</f>
        <v>2166643</v>
      </c>
      <c r="R54" s="493">
        <f>+'[3]Ad Valorem Taxes'!N53</f>
        <v>0</v>
      </c>
      <c r="S54" s="493">
        <f>+'[3]Ad Valorem Taxes'!O53</f>
        <v>0</v>
      </c>
      <c r="T54" s="495">
        <f>+'[3]Ad Valorem Taxes'!P53</f>
        <v>0</v>
      </c>
      <c r="U54" s="469">
        <f>+'[3]Ad Valorem Taxes'!Q53</f>
        <v>0</v>
      </c>
      <c r="V54" s="35">
        <f t="shared" si="18"/>
        <v>2166643</v>
      </c>
      <c r="W54" s="59">
        <f t="shared" si="19"/>
        <v>38.06</v>
      </c>
      <c r="X54" s="35">
        <f t="shared" si="20"/>
        <v>8738635</v>
      </c>
      <c r="Y54" s="35">
        <f t="shared" si="21"/>
        <v>0</v>
      </c>
      <c r="Z54" s="231">
        <f t="shared" si="22"/>
        <v>9.716</v>
      </c>
      <c r="AA54" s="231">
        <f t="shared" si="23"/>
        <v>29.472</v>
      </c>
      <c r="AB54" s="600">
        <f t="shared" si="24"/>
        <v>39.189</v>
      </c>
      <c r="AC54" s="606">
        <f t="shared" si="25"/>
        <v>8738635</v>
      </c>
      <c r="AD54" s="501">
        <f>+'[3]Sales Taxes'!C54</f>
        <v>0.02</v>
      </c>
      <c r="AE54" s="489">
        <f>+'[3]Sales Taxes'!D54</f>
        <v>8745885</v>
      </c>
      <c r="AF54" s="592">
        <f>+'[3]Sales Taxes'!E54</f>
        <v>0</v>
      </c>
      <c r="AG54" s="597">
        <f t="shared" si="26"/>
        <v>8745885</v>
      </c>
      <c r="AH54" s="595">
        <f t="shared" si="29"/>
        <v>437294250</v>
      </c>
      <c r="AI54" s="39">
        <f t="shared" si="27"/>
        <v>0.02</v>
      </c>
      <c r="AJ54" s="39">
        <f t="shared" si="28"/>
        <v>0</v>
      </c>
      <c r="AK54" s="752">
        <f>+'[3]Other Revenue'!N54</f>
        <v>90522</v>
      </c>
      <c r="AL54" s="505">
        <f t="shared" si="14"/>
        <v>17575042</v>
      </c>
    </row>
    <row r="55" spans="1:38" ht="12.75">
      <c r="A55" s="33">
        <v>48</v>
      </c>
      <c r="B55" s="405" t="s">
        <v>568</v>
      </c>
      <c r="C55" s="401"/>
      <c r="D55" s="469">
        <f>+'[3]2000 Property Assessments'!C53</f>
        <v>223938104</v>
      </c>
      <c r="E55" s="587">
        <f>+'[3]2000 Property Assessments'!D53</f>
        <v>62950401</v>
      </c>
      <c r="F55" s="35">
        <f t="shared" si="16"/>
        <v>160987703</v>
      </c>
      <c r="G55" s="745">
        <f>+'[3]Ad Valorem Taxes'!C54</f>
        <v>3.87</v>
      </c>
      <c r="H55" s="469">
        <f>+'[3]Ad Valorem Taxes'!D54</f>
        <v>587004</v>
      </c>
      <c r="I55" s="494">
        <f>+'[3]Ad Valorem Taxes'!E54</f>
        <v>18.6</v>
      </c>
      <c r="J55" s="469">
        <f>+'[3]Ad Valorem Taxes'!F54</f>
        <v>2820074</v>
      </c>
      <c r="K55" s="493">
        <f>+'[3]Ad Valorem Taxes'!G54</f>
        <v>0</v>
      </c>
      <c r="L55" s="493">
        <f>+'[3]Ad Valorem Taxes'!H54</f>
        <v>0</v>
      </c>
      <c r="M55" s="493">
        <f>+'[3]Ad Valorem Taxes'!I54</f>
        <v>0</v>
      </c>
      <c r="N55" s="469">
        <f>+'[3]Ad Valorem Taxes'!J54</f>
        <v>0</v>
      </c>
      <c r="O55" s="35">
        <f t="shared" si="17"/>
        <v>3407078</v>
      </c>
      <c r="P55" s="493">
        <f>+'[3]Ad Valorem Taxes'!L54</f>
        <v>24.12</v>
      </c>
      <c r="Q55" s="469">
        <f>+'[3]Ad Valorem Taxes'!M54</f>
        <v>3658429</v>
      </c>
      <c r="R55" s="493">
        <f>+'[3]Ad Valorem Taxes'!N54</f>
        <v>0</v>
      </c>
      <c r="S55" s="493">
        <f>+'[3]Ad Valorem Taxes'!O54</f>
        <v>0</v>
      </c>
      <c r="T55" s="495">
        <f>+'[3]Ad Valorem Taxes'!P54</f>
        <v>0</v>
      </c>
      <c r="U55" s="469">
        <f>+'[3]Ad Valorem Taxes'!Q54</f>
        <v>0</v>
      </c>
      <c r="V55" s="35">
        <f t="shared" si="18"/>
        <v>3658429</v>
      </c>
      <c r="W55" s="59">
        <f t="shared" si="19"/>
        <v>46.59</v>
      </c>
      <c r="X55" s="35">
        <f t="shared" si="20"/>
        <v>7065507</v>
      </c>
      <c r="Y55" s="35">
        <f t="shared" si="21"/>
        <v>0</v>
      </c>
      <c r="Z55" s="231">
        <f t="shared" si="22"/>
        <v>22.725</v>
      </c>
      <c r="AA55" s="231">
        <f t="shared" si="23"/>
        <v>21.164</v>
      </c>
      <c r="AB55" s="600">
        <f t="shared" si="24"/>
        <v>43.888</v>
      </c>
      <c r="AC55" s="606">
        <f t="shared" si="25"/>
        <v>7065507</v>
      </c>
      <c r="AD55" s="501">
        <f>+'[3]Sales Taxes'!C55</f>
        <v>0.0213</v>
      </c>
      <c r="AE55" s="489">
        <f>+'[3]Sales Taxes'!D55</f>
        <v>12315826</v>
      </c>
      <c r="AF55" s="592">
        <f>+'[3]Sales Taxes'!E55</f>
        <v>0</v>
      </c>
      <c r="AG55" s="597">
        <f t="shared" si="26"/>
        <v>12315826</v>
      </c>
      <c r="AH55" s="595">
        <f t="shared" si="29"/>
        <v>578207793</v>
      </c>
      <c r="AI55" s="39">
        <f t="shared" si="27"/>
        <v>0.0213</v>
      </c>
      <c r="AJ55" s="39">
        <f t="shared" si="28"/>
        <v>0</v>
      </c>
      <c r="AK55" s="752">
        <f>+'[3]Other Revenue'!N55</f>
        <v>213370</v>
      </c>
      <c r="AL55" s="505">
        <f t="shared" si="14"/>
        <v>19594703</v>
      </c>
    </row>
    <row r="56" spans="1:38" ht="12.75">
      <c r="A56" s="33">
        <v>49</v>
      </c>
      <c r="B56" s="405" t="s">
        <v>53</v>
      </c>
      <c r="C56" s="401"/>
      <c r="D56" s="469">
        <f>+'[3]2000 Property Assessments'!C54</f>
        <v>337354620</v>
      </c>
      <c r="E56" s="587">
        <f>+'[3]2000 Property Assessments'!D54</f>
        <v>87339400</v>
      </c>
      <c r="F56" s="35">
        <f t="shared" si="16"/>
        <v>250015220</v>
      </c>
      <c r="G56" s="745">
        <f>+'[3]Ad Valorem Taxes'!C55</f>
        <v>4.5</v>
      </c>
      <c r="H56" s="469">
        <f>+'[3]Ad Valorem Taxes'!D55</f>
        <v>1009761</v>
      </c>
      <c r="I56" s="494">
        <f>+'[3]Ad Valorem Taxes'!E55</f>
        <v>16.15</v>
      </c>
      <c r="J56" s="469">
        <f>+'[3]Ad Valorem Taxes'!F55</f>
        <v>3664595</v>
      </c>
      <c r="K56" s="493">
        <f>+'[3]Ad Valorem Taxes'!G55</f>
        <v>0</v>
      </c>
      <c r="L56" s="493">
        <f>+'[3]Ad Valorem Taxes'!H55</f>
        <v>0</v>
      </c>
      <c r="M56" s="493">
        <f>+'[3]Ad Valorem Taxes'!I55</f>
        <v>0</v>
      </c>
      <c r="N56" s="469">
        <f>+'[3]Ad Valorem Taxes'!J55</f>
        <v>0</v>
      </c>
      <c r="O56" s="35">
        <f t="shared" si="17"/>
        <v>4674356</v>
      </c>
      <c r="P56" s="493">
        <f>+'[3]Ad Valorem Taxes'!L55</f>
        <v>10.5</v>
      </c>
      <c r="Q56" s="469">
        <f>+'[3]Ad Valorem Taxes'!M55</f>
        <v>2382420</v>
      </c>
      <c r="R56" s="493">
        <f>+'[3]Ad Valorem Taxes'!N55</f>
        <v>0</v>
      </c>
      <c r="S56" s="493">
        <f>+'[3]Ad Valorem Taxes'!O55</f>
        <v>0</v>
      </c>
      <c r="T56" s="495">
        <f>+'[3]Ad Valorem Taxes'!P55</f>
        <v>0</v>
      </c>
      <c r="U56" s="469">
        <f>+'[3]Ad Valorem Taxes'!Q55</f>
        <v>0</v>
      </c>
      <c r="V56" s="35">
        <f t="shared" si="18"/>
        <v>2382420</v>
      </c>
      <c r="W56" s="59">
        <f t="shared" si="19"/>
        <v>31.15</v>
      </c>
      <c r="X56" s="35">
        <f t="shared" si="20"/>
        <v>7056776</v>
      </c>
      <c r="Y56" s="35">
        <f t="shared" si="21"/>
        <v>0</v>
      </c>
      <c r="Z56" s="231">
        <f t="shared" si="22"/>
        <v>9.529</v>
      </c>
      <c r="AA56" s="231">
        <f t="shared" si="23"/>
        <v>18.696</v>
      </c>
      <c r="AB56" s="600">
        <f t="shared" si="24"/>
        <v>28.225</v>
      </c>
      <c r="AC56" s="606">
        <f t="shared" si="25"/>
        <v>7056776</v>
      </c>
      <c r="AD56" s="501">
        <f>+'[3]Sales Taxes'!C56</f>
        <v>0.02</v>
      </c>
      <c r="AE56" s="489">
        <f>+'[3]Sales Taxes'!D56</f>
        <v>12851400</v>
      </c>
      <c r="AF56" s="592">
        <f>+'[3]Sales Taxes'!E56</f>
        <v>0</v>
      </c>
      <c r="AG56" s="597">
        <f t="shared" si="26"/>
        <v>12851400</v>
      </c>
      <c r="AH56" s="595">
        <f t="shared" si="29"/>
        <v>642570000</v>
      </c>
      <c r="AI56" s="39">
        <f t="shared" si="27"/>
        <v>0.02</v>
      </c>
      <c r="AJ56" s="39">
        <f t="shared" si="28"/>
        <v>0</v>
      </c>
      <c r="AK56" s="752">
        <f>+'[3]Other Revenue'!N56</f>
        <v>668487</v>
      </c>
      <c r="AL56" s="505">
        <f t="shared" si="14"/>
        <v>20576663</v>
      </c>
    </row>
    <row r="57" spans="1:38" ht="12.75">
      <c r="A57" s="47">
        <v>50</v>
      </c>
      <c r="B57" s="406" t="s">
        <v>54</v>
      </c>
      <c r="C57" s="402"/>
      <c r="D57" s="472">
        <f>+'[3]2000 Property Assessments'!C55</f>
        <v>165504216</v>
      </c>
      <c r="E57" s="588">
        <f>+'[3]2000 Property Assessments'!D55</f>
        <v>54699293</v>
      </c>
      <c r="F57" s="49">
        <f t="shared" si="16"/>
        <v>110804923</v>
      </c>
      <c r="G57" s="746">
        <f>+'[3]Ad Valorem Taxes'!C56</f>
        <v>3.14</v>
      </c>
      <c r="H57" s="472">
        <f>+'[3]Ad Valorem Taxes'!D56</f>
        <v>324156</v>
      </c>
      <c r="I57" s="497">
        <f>+'[3]Ad Valorem Taxes'!E56</f>
        <v>12</v>
      </c>
      <c r="J57" s="472">
        <f>+'[3]Ad Valorem Taxes'!F56</f>
        <v>1238160</v>
      </c>
      <c r="K57" s="496">
        <f>+'[3]Ad Valorem Taxes'!G56</f>
        <v>0</v>
      </c>
      <c r="L57" s="496">
        <f>+'[3]Ad Valorem Taxes'!H56</f>
        <v>0</v>
      </c>
      <c r="M57" s="496">
        <f>+'[3]Ad Valorem Taxes'!I56</f>
        <v>0</v>
      </c>
      <c r="N57" s="472">
        <f>+'[3]Ad Valorem Taxes'!J56</f>
        <v>0</v>
      </c>
      <c r="O57" s="49">
        <f t="shared" si="17"/>
        <v>1562316</v>
      </c>
      <c r="P57" s="496">
        <f>+'[3]Ad Valorem Taxes'!L56</f>
        <v>24</v>
      </c>
      <c r="Q57" s="472">
        <f>+'[3]Ad Valorem Taxes'!M56</f>
        <v>2581697</v>
      </c>
      <c r="R57" s="496">
        <f>+'[3]Ad Valorem Taxes'!N56</f>
        <v>0</v>
      </c>
      <c r="S57" s="496">
        <f>+'[3]Ad Valorem Taxes'!O56</f>
        <v>0</v>
      </c>
      <c r="T57" s="498">
        <f>+'[3]Ad Valorem Taxes'!P56</f>
        <v>0</v>
      </c>
      <c r="U57" s="472">
        <f>+'[3]Ad Valorem Taxes'!Q56</f>
        <v>0</v>
      </c>
      <c r="V57" s="49">
        <f t="shared" si="18"/>
        <v>2581697</v>
      </c>
      <c r="W57" s="60">
        <f t="shared" si="19"/>
        <v>39.14</v>
      </c>
      <c r="X57" s="49">
        <f t="shared" si="20"/>
        <v>4144013</v>
      </c>
      <c r="Y57" s="49">
        <f t="shared" si="21"/>
        <v>0</v>
      </c>
      <c r="Z57" s="232">
        <f t="shared" si="22"/>
        <v>23.299</v>
      </c>
      <c r="AA57" s="232">
        <f t="shared" si="23"/>
        <v>14.1</v>
      </c>
      <c r="AB57" s="601">
        <f t="shared" si="24"/>
        <v>37.399</v>
      </c>
      <c r="AC57" s="607">
        <f t="shared" si="25"/>
        <v>4144013</v>
      </c>
      <c r="AD57" s="502">
        <f>+'[3]Sales Taxes'!C57</f>
        <v>0.02</v>
      </c>
      <c r="AE57" s="490">
        <f>+'[3]Sales Taxes'!D57</f>
        <v>7078154</v>
      </c>
      <c r="AF57" s="593">
        <f>+'[3]Sales Taxes'!E57</f>
        <v>0</v>
      </c>
      <c r="AG57" s="598">
        <f t="shared" si="26"/>
        <v>7078154</v>
      </c>
      <c r="AH57" s="596">
        <f t="shared" si="29"/>
        <v>353907700</v>
      </c>
      <c r="AI57" s="52">
        <f t="shared" si="27"/>
        <v>0.02</v>
      </c>
      <c r="AJ57" s="52">
        <f t="shared" si="28"/>
        <v>0</v>
      </c>
      <c r="AK57" s="755">
        <f>+'[3]Other Revenue'!N57</f>
        <v>645634.5</v>
      </c>
      <c r="AL57" s="584">
        <f t="shared" si="14"/>
        <v>11867801.5</v>
      </c>
    </row>
    <row r="58" spans="1:38" ht="12.75">
      <c r="A58" s="33">
        <v>51</v>
      </c>
      <c r="B58" s="405" t="s">
        <v>55</v>
      </c>
      <c r="C58" s="401"/>
      <c r="D58" s="469">
        <f>+'[3]2000 Property Assessments'!C56</f>
        <v>303104315</v>
      </c>
      <c r="E58" s="587">
        <f>+'[3]2000 Property Assessments'!D56</f>
        <v>56164934</v>
      </c>
      <c r="F58" s="35">
        <f t="shared" si="16"/>
        <v>246939381</v>
      </c>
      <c r="G58" s="745">
        <f>+'[3]Ad Valorem Taxes'!C57</f>
        <v>9.01</v>
      </c>
      <c r="H58" s="469">
        <f>+'[3]Ad Valorem Taxes'!D57</f>
        <v>2113867</v>
      </c>
      <c r="I58" s="494">
        <f>+'[3]Ad Valorem Taxes'!E57</f>
        <v>11.92</v>
      </c>
      <c r="J58" s="469">
        <f>+'[3]Ad Valorem Taxes'!F57</f>
        <v>2796624</v>
      </c>
      <c r="K58" s="493">
        <f>+'[3]Ad Valorem Taxes'!G57</f>
        <v>10.87</v>
      </c>
      <c r="L58" s="493">
        <f>+'[3]Ad Valorem Taxes'!H57</f>
        <v>14.21</v>
      </c>
      <c r="M58" s="493">
        <f>+'[3]Ad Valorem Taxes'!I57</f>
        <v>3</v>
      </c>
      <c r="N58" s="469">
        <f>+'[3]Ad Valorem Taxes'!J57</f>
        <v>2970692</v>
      </c>
      <c r="O58" s="35">
        <f t="shared" si="17"/>
        <v>7881183</v>
      </c>
      <c r="P58" s="493">
        <f>+'[3]Ad Valorem Taxes'!L57</f>
        <v>0</v>
      </c>
      <c r="Q58" s="469">
        <f>+'[3]Ad Valorem Taxes'!M57</f>
        <v>0</v>
      </c>
      <c r="R58" s="493">
        <f>+'[3]Ad Valorem Taxes'!N57</f>
        <v>7.5</v>
      </c>
      <c r="S58" s="493">
        <f>+'[3]Ad Valorem Taxes'!O57</f>
        <v>30</v>
      </c>
      <c r="T58" s="495">
        <f>+'[3]Ad Valorem Taxes'!P57</f>
        <v>2</v>
      </c>
      <c r="U58" s="469">
        <f>+'[3]Ad Valorem Taxes'!Q57</f>
        <v>2087046</v>
      </c>
      <c r="V58" s="35">
        <f t="shared" si="18"/>
        <v>2087046</v>
      </c>
      <c r="W58" s="59">
        <f t="shared" si="19"/>
        <v>20.93</v>
      </c>
      <c r="X58" s="35">
        <f t="shared" si="20"/>
        <v>4910491</v>
      </c>
      <c r="Y58" s="35">
        <f t="shared" si="21"/>
        <v>5057738</v>
      </c>
      <c r="Z58" s="231">
        <f t="shared" si="22"/>
        <v>8.452</v>
      </c>
      <c r="AA58" s="231">
        <f t="shared" si="23"/>
        <v>31.915</v>
      </c>
      <c r="AB58" s="600">
        <f t="shared" si="24"/>
        <v>40.367</v>
      </c>
      <c r="AC58" s="606">
        <f t="shared" si="25"/>
        <v>9968229</v>
      </c>
      <c r="AD58" s="501">
        <f>+'[3]Sales Taxes'!C58</f>
        <v>0.0175</v>
      </c>
      <c r="AE58" s="489">
        <f>+'[3]Sales Taxes'!D58</f>
        <v>11516540</v>
      </c>
      <c r="AF58" s="592">
        <f>+'[3]Sales Taxes'!E58</f>
        <v>0</v>
      </c>
      <c r="AG58" s="597">
        <f t="shared" si="26"/>
        <v>11516540</v>
      </c>
      <c r="AH58" s="595">
        <f t="shared" si="29"/>
        <v>658088000</v>
      </c>
      <c r="AI58" s="39">
        <f t="shared" si="27"/>
        <v>0.0175</v>
      </c>
      <c r="AJ58" s="39">
        <f t="shared" si="28"/>
        <v>0</v>
      </c>
      <c r="AK58" s="752">
        <f>+'[3]Other Revenue'!N58</f>
        <v>576050.5</v>
      </c>
      <c r="AL58" s="505">
        <f t="shared" si="14"/>
        <v>22060819.5</v>
      </c>
    </row>
    <row r="59" spans="1:38" ht="12.75">
      <c r="A59" s="33">
        <v>52</v>
      </c>
      <c r="B59" s="405" t="s">
        <v>56</v>
      </c>
      <c r="C59" s="401"/>
      <c r="D59" s="469">
        <f>+'[3]2000 Property Assessments'!C57</f>
        <v>871483563</v>
      </c>
      <c r="E59" s="587">
        <f>+'[3]2000 Property Assessments'!D57</f>
        <v>339787718</v>
      </c>
      <c r="F59" s="35">
        <f t="shared" si="16"/>
        <v>531695845</v>
      </c>
      <c r="G59" s="745">
        <f>+'[3]Ad Valorem Taxes'!C58</f>
        <v>4.47</v>
      </c>
      <c r="H59" s="469">
        <f>+'[3]Ad Valorem Taxes'!D58</f>
        <v>2290333</v>
      </c>
      <c r="I59" s="494">
        <f>+'[3]Ad Valorem Taxes'!E58</f>
        <v>56.73</v>
      </c>
      <c r="J59" s="469">
        <f>+'[3]Ad Valorem Taxes'!F58</f>
        <v>29067495</v>
      </c>
      <c r="K59" s="493">
        <f>+'[3]Ad Valorem Taxes'!G58</f>
        <v>0</v>
      </c>
      <c r="L59" s="493">
        <f>+'[3]Ad Valorem Taxes'!H58</f>
        <v>0</v>
      </c>
      <c r="M59" s="493">
        <f>+'[3]Ad Valorem Taxes'!I58</f>
        <v>0</v>
      </c>
      <c r="N59" s="469">
        <f>+'[3]Ad Valorem Taxes'!J58</f>
        <v>0</v>
      </c>
      <c r="O59" s="35">
        <f t="shared" si="17"/>
        <v>31357828</v>
      </c>
      <c r="P59" s="493">
        <f>+'[3]Ad Valorem Taxes'!L58</f>
        <v>25.9</v>
      </c>
      <c r="Q59" s="469">
        <f>+'[3]Ad Valorem Taxes'!M58</f>
        <v>13270712</v>
      </c>
      <c r="R59" s="493">
        <f>+'[3]Ad Valorem Taxes'!N58</f>
        <v>0</v>
      </c>
      <c r="S59" s="493">
        <f>+'[3]Ad Valorem Taxes'!O58</f>
        <v>0</v>
      </c>
      <c r="T59" s="495">
        <f>+'[3]Ad Valorem Taxes'!P58</f>
        <v>0</v>
      </c>
      <c r="U59" s="469">
        <f>+'[3]Ad Valorem Taxes'!Q58</f>
        <v>0</v>
      </c>
      <c r="V59" s="35">
        <f t="shared" si="18"/>
        <v>13270712</v>
      </c>
      <c r="W59" s="59">
        <f t="shared" si="19"/>
        <v>87.1</v>
      </c>
      <c r="X59" s="35">
        <f t="shared" si="20"/>
        <v>44628540</v>
      </c>
      <c r="Y59" s="35">
        <f t="shared" si="21"/>
        <v>0</v>
      </c>
      <c r="Z59" s="231">
        <f t="shared" si="22"/>
        <v>24.959</v>
      </c>
      <c r="AA59" s="231">
        <f t="shared" si="23"/>
        <v>58.977</v>
      </c>
      <c r="AB59" s="600">
        <f t="shared" si="24"/>
        <v>83.936</v>
      </c>
      <c r="AC59" s="606">
        <f t="shared" si="25"/>
        <v>44628540</v>
      </c>
      <c r="AD59" s="501">
        <f>+'[3]Sales Taxes'!C59</f>
        <v>0.02</v>
      </c>
      <c r="AE59" s="489">
        <f>+'[3]Sales Taxes'!D59</f>
        <v>46805600</v>
      </c>
      <c r="AF59" s="592">
        <f>+'[3]Sales Taxes'!E59</f>
        <v>1990000</v>
      </c>
      <c r="AG59" s="597">
        <f t="shared" si="26"/>
        <v>48795600</v>
      </c>
      <c r="AH59" s="595">
        <f t="shared" si="29"/>
        <v>2439780000</v>
      </c>
      <c r="AI59" s="39">
        <f t="shared" si="27"/>
        <v>0.0192</v>
      </c>
      <c r="AJ59" s="39">
        <f t="shared" si="28"/>
        <v>0.0008</v>
      </c>
      <c r="AK59" s="752">
        <f>+'[3]Other Revenue'!N59</f>
        <v>1802063</v>
      </c>
      <c r="AL59" s="505">
        <f t="shared" si="14"/>
        <v>95226203</v>
      </c>
    </row>
    <row r="60" spans="1:38" ht="12.75">
      <c r="A60" s="33">
        <v>53</v>
      </c>
      <c r="B60" s="405" t="s">
        <v>57</v>
      </c>
      <c r="C60" s="401"/>
      <c r="D60" s="469">
        <f>+'[3]2000 Property Assessments'!C58</f>
        <v>342511374</v>
      </c>
      <c r="E60" s="587">
        <f>+'[3]2000 Property Assessments'!D58</f>
        <v>128196848</v>
      </c>
      <c r="F60" s="35">
        <f t="shared" si="16"/>
        <v>214314526</v>
      </c>
      <c r="G60" s="745">
        <f>+'[3]Ad Valorem Taxes'!C59</f>
        <v>4.06</v>
      </c>
      <c r="H60" s="469">
        <f>+'[3]Ad Valorem Taxes'!D59</f>
        <v>861181</v>
      </c>
      <c r="I60" s="494">
        <f>+'[3]Ad Valorem Taxes'!E59</f>
        <v>0</v>
      </c>
      <c r="J60" s="469">
        <f>+'[3]Ad Valorem Taxes'!F59</f>
        <v>0</v>
      </c>
      <c r="K60" s="493">
        <f>+'[3]Ad Valorem Taxes'!G59</f>
        <v>0</v>
      </c>
      <c r="L60" s="493">
        <f>+'[3]Ad Valorem Taxes'!H59</f>
        <v>3</v>
      </c>
      <c r="M60" s="493">
        <f>+'[3]Ad Valorem Taxes'!I59</f>
        <v>1</v>
      </c>
      <c r="N60" s="469">
        <f>+'[3]Ad Valorem Taxes'!J59</f>
        <v>368640</v>
      </c>
      <c r="O60" s="35">
        <f t="shared" si="17"/>
        <v>1229821</v>
      </c>
      <c r="P60" s="493">
        <f>+'[3]Ad Valorem Taxes'!L59</f>
        <v>0</v>
      </c>
      <c r="Q60" s="469">
        <f>+'[3]Ad Valorem Taxes'!M59</f>
        <v>0</v>
      </c>
      <c r="R60" s="493">
        <f>+'[3]Ad Valorem Taxes'!N59</f>
        <v>1</v>
      </c>
      <c r="S60" s="493">
        <f>+'[3]Ad Valorem Taxes'!O59</f>
        <v>34</v>
      </c>
      <c r="T60" s="495">
        <f>+'[3]Ad Valorem Taxes'!P59</f>
        <v>8</v>
      </c>
      <c r="U60" s="469">
        <f>+'[3]Ad Valorem Taxes'!Q59</f>
        <v>2553308</v>
      </c>
      <c r="V60" s="35">
        <f t="shared" si="18"/>
        <v>2553308</v>
      </c>
      <c r="W60" s="59">
        <f t="shared" si="19"/>
        <v>4.06</v>
      </c>
      <c r="X60" s="35">
        <f t="shared" si="20"/>
        <v>861181</v>
      </c>
      <c r="Y60" s="35">
        <f t="shared" si="21"/>
        <v>2921948</v>
      </c>
      <c r="Z60" s="231">
        <f t="shared" si="22"/>
        <v>11.914</v>
      </c>
      <c r="AA60" s="231">
        <f t="shared" si="23"/>
        <v>5.738</v>
      </c>
      <c r="AB60" s="600">
        <f t="shared" si="24"/>
        <v>17.652</v>
      </c>
      <c r="AC60" s="606">
        <f t="shared" si="25"/>
        <v>3783129</v>
      </c>
      <c r="AD60" s="501">
        <f>+'[3]Sales Taxes'!C60</f>
        <v>0.02</v>
      </c>
      <c r="AE60" s="489">
        <f>+'[3]Sales Taxes'!D60</f>
        <v>18154926</v>
      </c>
      <c r="AF60" s="592">
        <f>+'[3]Sales Taxes'!E60</f>
        <v>3276409</v>
      </c>
      <c r="AG60" s="597">
        <f t="shared" si="26"/>
        <v>21431335</v>
      </c>
      <c r="AH60" s="595">
        <f t="shared" si="29"/>
        <v>1071566750</v>
      </c>
      <c r="AI60" s="39">
        <f t="shared" si="27"/>
        <v>0.0169</v>
      </c>
      <c r="AJ60" s="39">
        <f t="shared" si="28"/>
        <v>0.0031</v>
      </c>
      <c r="AK60" s="752">
        <f>+'[3]Other Revenue'!N60</f>
        <v>108021</v>
      </c>
      <c r="AL60" s="505">
        <f t="shared" si="14"/>
        <v>25322485</v>
      </c>
    </row>
    <row r="61" spans="1:38" ht="12.75">
      <c r="A61" s="33">
        <v>54</v>
      </c>
      <c r="B61" s="405" t="s">
        <v>58</v>
      </c>
      <c r="C61" s="401"/>
      <c r="D61" s="469">
        <f>+'[3]2000 Property Assessments'!C59</f>
        <v>44511513</v>
      </c>
      <c r="E61" s="587">
        <f>+'[3]2000 Property Assessments'!D59</f>
        <v>6255755</v>
      </c>
      <c r="F61" s="35">
        <f t="shared" si="16"/>
        <v>38255758</v>
      </c>
      <c r="G61" s="745">
        <f>+'[3]Ad Valorem Taxes'!C60</f>
        <v>3.94</v>
      </c>
      <c r="H61" s="469">
        <f>+'[3]Ad Valorem Taxes'!D60</f>
        <v>151373</v>
      </c>
      <c r="I61" s="494">
        <f>+'[3]Ad Valorem Taxes'!E60</f>
        <v>26.36</v>
      </c>
      <c r="J61" s="469">
        <f>+'[3]Ad Valorem Taxes'!F60</f>
        <v>1012024</v>
      </c>
      <c r="K61" s="493">
        <f>+'[3]Ad Valorem Taxes'!G60</f>
        <v>0</v>
      </c>
      <c r="L61" s="493">
        <f>+'[3]Ad Valorem Taxes'!H60</f>
        <v>0</v>
      </c>
      <c r="M61" s="493">
        <f>+'[3]Ad Valorem Taxes'!I60</f>
        <v>0</v>
      </c>
      <c r="N61" s="469">
        <f>+'[3]Ad Valorem Taxes'!J60</f>
        <v>0</v>
      </c>
      <c r="O61" s="35">
        <f t="shared" si="17"/>
        <v>1163397</v>
      </c>
      <c r="P61" s="493">
        <f>+'[3]Ad Valorem Taxes'!L60</f>
        <v>0</v>
      </c>
      <c r="Q61" s="469">
        <f>+'[3]Ad Valorem Taxes'!M60</f>
        <v>0</v>
      </c>
      <c r="R61" s="493">
        <f>+'[3]Ad Valorem Taxes'!N60</f>
        <v>0</v>
      </c>
      <c r="S61" s="493">
        <f>+'[3]Ad Valorem Taxes'!O60</f>
        <v>0</v>
      </c>
      <c r="T61" s="495">
        <f>+'[3]Ad Valorem Taxes'!P60</f>
        <v>0</v>
      </c>
      <c r="U61" s="469">
        <f>+'[3]Ad Valorem Taxes'!Q60</f>
        <v>0</v>
      </c>
      <c r="V61" s="35">
        <f t="shared" si="18"/>
        <v>0</v>
      </c>
      <c r="W61" s="59">
        <f t="shared" si="19"/>
        <v>30.3</v>
      </c>
      <c r="X61" s="35">
        <f t="shared" si="20"/>
        <v>1163397</v>
      </c>
      <c r="Y61" s="35">
        <f t="shared" si="21"/>
        <v>0</v>
      </c>
      <c r="Z61" s="231">
        <f t="shared" si="22"/>
        <v>0</v>
      </c>
      <c r="AA61" s="231">
        <f t="shared" si="23"/>
        <v>30.411</v>
      </c>
      <c r="AB61" s="600">
        <f t="shared" si="24"/>
        <v>30.411</v>
      </c>
      <c r="AC61" s="606">
        <f t="shared" si="25"/>
        <v>1163397</v>
      </c>
      <c r="AD61" s="501">
        <f>+'[3]Sales Taxes'!C61</f>
        <v>0.015</v>
      </c>
      <c r="AE61" s="489">
        <f>+'[3]Sales Taxes'!D61</f>
        <v>569950</v>
      </c>
      <c r="AF61" s="592">
        <f>+'[3]Sales Taxes'!E61</f>
        <v>0</v>
      </c>
      <c r="AG61" s="597">
        <f t="shared" si="26"/>
        <v>569950</v>
      </c>
      <c r="AH61" s="595">
        <f t="shared" si="29"/>
        <v>37996667</v>
      </c>
      <c r="AI61" s="39">
        <f t="shared" si="27"/>
        <v>0.015</v>
      </c>
      <c r="AJ61" s="39">
        <f t="shared" si="28"/>
        <v>0</v>
      </c>
      <c r="AK61" s="752">
        <f>+'[3]Other Revenue'!N61</f>
        <v>65332.5</v>
      </c>
      <c r="AL61" s="505">
        <f t="shared" si="14"/>
        <v>1798679.5</v>
      </c>
    </row>
    <row r="62" spans="1:38" ht="12.75">
      <c r="A62" s="47">
        <v>55</v>
      </c>
      <c r="B62" s="406" t="s">
        <v>59</v>
      </c>
      <c r="C62" s="402"/>
      <c r="D62" s="472">
        <f>+'[3]2000 Property Assessments'!C60</f>
        <v>493424250</v>
      </c>
      <c r="E62" s="588">
        <f>+'[3]2000 Property Assessments'!D60</f>
        <v>131856605</v>
      </c>
      <c r="F62" s="49">
        <f t="shared" si="16"/>
        <v>361567645</v>
      </c>
      <c r="G62" s="746">
        <f>+'[3]Ad Valorem Taxes'!C61</f>
        <v>3.86</v>
      </c>
      <c r="H62" s="472">
        <f>+'[3]Ad Valorem Taxes'!D61</f>
        <v>1307507</v>
      </c>
      <c r="I62" s="497">
        <f>+'[3]Ad Valorem Taxes'!E61</f>
        <v>5.41</v>
      </c>
      <c r="J62" s="472">
        <f>+'[3]Ad Valorem Taxes'!F61</f>
        <v>1832542</v>
      </c>
      <c r="K62" s="496">
        <f>+'[3]Ad Valorem Taxes'!G61</f>
        <v>0</v>
      </c>
      <c r="L62" s="496">
        <f>+'[3]Ad Valorem Taxes'!H61</f>
        <v>0</v>
      </c>
      <c r="M62" s="496">
        <f>+'[3]Ad Valorem Taxes'!I61</f>
        <v>0</v>
      </c>
      <c r="N62" s="472">
        <f>+'[3]Ad Valorem Taxes'!J61</f>
        <v>0</v>
      </c>
      <c r="O62" s="49">
        <f t="shared" si="17"/>
        <v>3140049</v>
      </c>
      <c r="P62" s="496">
        <f>+'[3]Ad Valorem Taxes'!L61</f>
        <v>9.47</v>
      </c>
      <c r="Q62" s="472">
        <f>+'[3]Ad Valorem Taxes'!M61</f>
        <v>2717505</v>
      </c>
      <c r="R62" s="496">
        <f>+'[3]Ad Valorem Taxes'!N61</f>
        <v>0</v>
      </c>
      <c r="S62" s="496">
        <f>+'[3]Ad Valorem Taxes'!O61</f>
        <v>0</v>
      </c>
      <c r="T62" s="498">
        <f>+'[3]Ad Valorem Taxes'!P61</f>
        <v>0</v>
      </c>
      <c r="U62" s="472">
        <f>+'[3]Ad Valorem Taxes'!Q61</f>
        <v>0</v>
      </c>
      <c r="V62" s="49">
        <f t="shared" si="18"/>
        <v>2717505</v>
      </c>
      <c r="W62" s="60">
        <f t="shared" si="19"/>
        <v>18.740000000000002</v>
      </c>
      <c r="X62" s="49">
        <f t="shared" si="20"/>
        <v>5857554</v>
      </c>
      <c r="Y62" s="49">
        <f t="shared" si="21"/>
        <v>0</v>
      </c>
      <c r="Z62" s="232">
        <f t="shared" si="22"/>
        <v>7.516</v>
      </c>
      <c r="AA62" s="232">
        <f t="shared" si="23"/>
        <v>8.685</v>
      </c>
      <c r="AB62" s="601">
        <f t="shared" si="24"/>
        <v>16.2</v>
      </c>
      <c r="AC62" s="607">
        <f t="shared" si="25"/>
        <v>5857554</v>
      </c>
      <c r="AD62" s="502">
        <f>+'[3]Sales Taxes'!C62</f>
        <v>0.0208</v>
      </c>
      <c r="AE62" s="490">
        <f>+'[3]Sales Taxes'!D62</f>
        <v>32159645</v>
      </c>
      <c r="AF62" s="593">
        <f>+'[3]Sales Taxes'!E62</f>
        <v>0</v>
      </c>
      <c r="AG62" s="598">
        <f t="shared" si="26"/>
        <v>32159645</v>
      </c>
      <c r="AH62" s="596">
        <f t="shared" si="29"/>
        <v>1546136779</v>
      </c>
      <c r="AI62" s="52">
        <f t="shared" si="27"/>
        <v>0.0208</v>
      </c>
      <c r="AJ62" s="52">
        <f t="shared" si="28"/>
        <v>0</v>
      </c>
      <c r="AK62" s="755">
        <f>+'[3]Other Revenue'!N62</f>
        <v>519363.5</v>
      </c>
      <c r="AL62" s="584">
        <f t="shared" si="14"/>
        <v>38536562.5</v>
      </c>
    </row>
    <row r="63" spans="1:38" ht="12.75">
      <c r="A63" s="33">
        <v>56</v>
      </c>
      <c r="B63" s="405" t="s">
        <v>60</v>
      </c>
      <c r="C63" s="401"/>
      <c r="D63" s="469">
        <f>+'[3]2000 Property Assessments'!C61</f>
        <v>87933550</v>
      </c>
      <c r="E63" s="587">
        <f>+'[3]2000 Property Assessments'!D61</f>
        <v>25029300</v>
      </c>
      <c r="F63" s="35">
        <f t="shared" si="16"/>
        <v>62904250</v>
      </c>
      <c r="G63" s="745">
        <f>+'[3]Ad Valorem Taxes'!C62</f>
        <v>3.27</v>
      </c>
      <c r="H63" s="469">
        <f>+'[3]Ad Valorem Taxes'!D62</f>
        <v>195408</v>
      </c>
      <c r="I63" s="494">
        <f>+'[3]Ad Valorem Taxes'!E62</f>
        <v>2.98</v>
      </c>
      <c r="J63" s="469">
        <f>+'[3]Ad Valorem Taxes'!F62</f>
        <v>178069</v>
      </c>
      <c r="K63" s="493">
        <f>+'[3]Ad Valorem Taxes'!G62</f>
        <v>1.52</v>
      </c>
      <c r="L63" s="493">
        <f>+'[3]Ad Valorem Taxes'!H62</f>
        <v>1.72</v>
      </c>
      <c r="M63" s="493">
        <f>+'[3]Ad Valorem Taxes'!I62</f>
        <v>9</v>
      </c>
      <c r="N63" s="469">
        <f>+'[3]Ad Valorem Taxes'!J62</f>
        <v>93224</v>
      </c>
      <c r="O63" s="35">
        <f t="shared" si="17"/>
        <v>466701</v>
      </c>
      <c r="P63" s="493">
        <f>+'[3]Ad Valorem Taxes'!L62</f>
        <v>7</v>
      </c>
      <c r="Q63" s="469">
        <f>+'[3]Ad Valorem Taxes'!M62</f>
        <v>418585</v>
      </c>
      <c r="R63" s="493">
        <f>+'[3]Ad Valorem Taxes'!N62</f>
        <v>0</v>
      </c>
      <c r="S63" s="493">
        <f>+'[3]Ad Valorem Taxes'!O62</f>
        <v>0</v>
      </c>
      <c r="T63" s="495">
        <f>+'[3]Ad Valorem Taxes'!P62</f>
        <v>0</v>
      </c>
      <c r="U63" s="469">
        <f>+'[3]Ad Valorem Taxes'!Q62</f>
        <v>0</v>
      </c>
      <c r="V63" s="35">
        <f t="shared" si="18"/>
        <v>418585</v>
      </c>
      <c r="W63" s="59">
        <f t="shared" si="19"/>
        <v>13.25</v>
      </c>
      <c r="X63" s="35">
        <f t="shared" si="20"/>
        <v>792062</v>
      </c>
      <c r="Y63" s="35">
        <f t="shared" si="21"/>
        <v>93224</v>
      </c>
      <c r="Z63" s="231">
        <f t="shared" si="22"/>
        <v>6.654</v>
      </c>
      <c r="AA63" s="231">
        <f t="shared" si="23"/>
        <v>7.419</v>
      </c>
      <c r="AB63" s="600">
        <f t="shared" si="24"/>
        <v>14.074</v>
      </c>
      <c r="AC63" s="606">
        <f t="shared" si="25"/>
        <v>885286</v>
      </c>
      <c r="AD63" s="501">
        <f>+'[3]Sales Taxes'!C63</f>
        <v>0.0125</v>
      </c>
      <c r="AE63" s="489">
        <f>+'[3]Sales Taxes'!D63</f>
        <v>2023204</v>
      </c>
      <c r="AF63" s="592">
        <f>+'[3]Sales Taxes'!E63</f>
        <v>0</v>
      </c>
      <c r="AG63" s="597">
        <f t="shared" si="26"/>
        <v>2023204</v>
      </c>
      <c r="AH63" s="595">
        <f t="shared" si="29"/>
        <v>161856320</v>
      </c>
      <c r="AI63" s="39">
        <f t="shared" si="27"/>
        <v>0.0125</v>
      </c>
      <c r="AJ63" s="39">
        <f t="shared" si="28"/>
        <v>0</v>
      </c>
      <c r="AK63" s="752">
        <f>+'[3]Other Revenue'!N63</f>
        <v>163760.5</v>
      </c>
      <c r="AL63" s="505">
        <f t="shared" si="14"/>
        <v>3072250.5</v>
      </c>
    </row>
    <row r="64" spans="1:38" ht="12.75">
      <c r="A64" s="33">
        <v>57</v>
      </c>
      <c r="B64" s="405" t="s">
        <v>61</v>
      </c>
      <c r="C64" s="401"/>
      <c r="D64" s="469">
        <f>+'[3]2000 Property Assessments'!C62</f>
        <v>245410220</v>
      </c>
      <c r="E64" s="587">
        <f>+'[3]2000 Property Assessments'!D62</f>
        <v>61599730</v>
      </c>
      <c r="F64" s="35">
        <f t="shared" si="16"/>
        <v>183810490</v>
      </c>
      <c r="G64" s="745">
        <f>+'[3]Ad Valorem Taxes'!C63</f>
        <v>4.4</v>
      </c>
      <c r="H64" s="469">
        <f>+'[3]Ad Valorem Taxes'!D63</f>
        <v>780971</v>
      </c>
      <c r="I64" s="494">
        <f>+'[3]Ad Valorem Taxes'!E63</f>
        <v>35</v>
      </c>
      <c r="J64" s="469">
        <f>+'[3]Ad Valorem Taxes'!F63</f>
        <v>6211310</v>
      </c>
      <c r="K64" s="493">
        <f>+'[3]Ad Valorem Taxes'!G63</f>
        <v>0</v>
      </c>
      <c r="L64" s="493">
        <f>+'[3]Ad Valorem Taxes'!H63</f>
        <v>0</v>
      </c>
      <c r="M64" s="493">
        <f>+'[3]Ad Valorem Taxes'!I63</f>
        <v>0</v>
      </c>
      <c r="N64" s="469">
        <f>+'[3]Ad Valorem Taxes'!J63</f>
        <v>0</v>
      </c>
      <c r="O64" s="35">
        <f t="shared" si="17"/>
        <v>6992281</v>
      </c>
      <c r="P64" s="493">
        <f>+'[3]Ad Valorem Taxes'!L63</f>
        <v>1.33</v>
      </c>
      <c r="Q64" s="469">
        <f>+'[3]Ad Valorem Taxes'!M63</f>
        <v>236215</v>
      </c>
      <c r="R64" s="493">
        <f>+'[3]Ad Valorem Taxes'!N63</f>
        <v>0</v>
      </c>
      <c r="S64" s="493">
        <f>+'[3]Ad Valorem Taxes'!O63</f>
        <v>0</v>
      </c>
      <c r="T64" s="495">
        <f>+'[3]Ad Valorem Taxes'!P63</f>
        <v>0</v>
      </c>
      <c r="U64" s="469">
        <f>+'[3]Ad Valorem Taxes'!Q63</f>
        <v>0</v>
      </c>
      <c r="V64" s="35">
        <f t="shared" si="18"/>
        <v>236215</v>
      </c>
      <c r="W64" s="59">
        <f t="shared" si="19"/>
        <v>40.73</v>
      </c>
      <c r="X64" s="35">
        <f t="shared" si="20"/>
        <v>7228496</v>
      </c>
      <c r="Y64" s="35">
        <f t="shared" si="21"/>
        <v>0</v>
      </c>
      <c r="Z64" s="231">
        <f t="shared" si="22"/>
        <v>1.285</v>
      </c>
      <c r="AA64" s="231">
        <f t="shared" si="23"/>
        <v>38.041</v>
      </c>
      <c r="AB64" s="600">
        <f t="shared" si="24"/>
        <v>39.326</v>
      </c>
      <c r="AC64" s="606">
        <f t="shared" si="25"/>
        <v>7228496</v>
      </c>
      <c r="AD64" s="501">
        <f>+'[3]Sales Taxes'!C64</f>
        <v>0.01</v>
      </c>
      <c r="AE64" s="489">
        <f>+'[3]Sales Taxes'!D64</f>
        <v>5423279</v>
      </c>
      <c r="AF64" s="592">
        <f>+'[3]Sales Taxes'!E64</f>
        <v>0</v>
      </c>
      <c r="AG64" s="597">
        <f t="shared" si="26"/>
        <v>5423279</v>
      </c>
      <c r="AH64" s="595">
        <f t="shared" si="29"/>
        <v>542327900</v>
      </c>
      <c r="AI64" s="39">
        <f t="shared" si="27"/>
        <v>0.01</v>
      </c>
      <c r="AJ64" s="39">
        <f t="shared" si="28"/>
        <v>0</v>
      </c>
      <c r="AK64" s="752">
        <f>+'[3]Other Revenue'!N64</f>
        <v>3218052.5</v>
      </c>
      <c r="AL64" s="505">
        <f t="shared" si="14"/>
        <v>15869827.5</v>
      </c>
    </row>
    <row r="65" spans="1:38" ht="12.75">
      <c r="A65" s="33">
        <v>58</v>
      </c>
      <c r="B65" s="405" t="s">
        <v>62</v>
      </c>
      <c r="C65" s="401"/>
      <c r="D65" s="469">
        <f>+'[3]2000 Property Assessments'!C63</f>
        <v>113523380</v>
      </c>
      <c r="E65" s="587">
        <f>+'[3]2000 Property Assessments'!D63</f>
        <v>32699910</v>
      </c>
      <c r="F65" s="35">
        <f t="shared" si="16"/>
        <v>80823470</v>
      </c>
      <c r="G65" s="745">
        <f>+'[3]Ad Valorem Taxes'!C64</f>
        <v>3.7</v>
      </c>
      <c r="H65" s="469">
        <f>+'[3]Ad Valorem Taxes'!D64</f>
        <v>294192</v>
      </c>
      <c r="I65" s="494">
        <f>+'[3]Ad Valorem Taxes'!E64</f>
        <v>7.17</v>
      </c>
      <c r="J65" s="469">
        <f>+'[3]Ad Valorem Taxes'!F64</f>
        <v>583816</v>
      </c>
      <c r="K65" s="493">
        <f>+'[3]Ad Valorem Taxes'!G64</f>
        <v>12.59</v>
      </c>
      <c r="L65" s="493">
        <f>+'[3]Ad Valorem Taxes'!H64</f>
        <v>14.53</v>
      </c>
      <c r="M65" s="493">
        <f>+'[3]Ad Valorem Taxes'!I64</f>
        <v>9</v>
      </c>
      <c r="N65" s="469">
        <f>+'[3]Ad Valorem Taxes'!J64</f>
        <v>1080266</v>
      </c>
      <c r="O65" s="35">
        <f t="shared" si="17"/>
        <v>1958274</v>
      </c>
      <c r="P65" s="493">
        <f>+'[3]Ad Valorem Taxes'!L64</f>
        <v>0</v>
      </c>
      <c r="Q65" s="469">
        <f>+'[3]Ad Valorem Taxes'!M64</f>
        <v>0</v>
      </c>
      <c r="R65" s="493">
        <f>+'[3]Ad Valorem Taxes'!N64</f>
        <v>3.5</v>
      </c>
      <c r="S65" s="493">
        <f>+'[3]Ad Valorem Taxes'!O64</f>
        <v>70</v>
      </c>
      <c r="T65" s="495">
        <f>+'[3]Ad Valorem Taxes'!P64</f>
        <v>9</v>
      </c>
      <c r="U65" s="469">
        <f>+'[3]Ad Valorem Taxes'!Q64</f>
        <v>1263570</v>
      </c>
      <c r="V65" s="35">
        <f t="shared" si="18"/>
        <v>1263570</v>
      </c>
      <c r="W65" s="59">
        <f t="shared" si="19"/>
        <v>10.870000000000001</v>
      </c>
      <c r="X65" s="35">
        <f t="shared" si="20"/>
        <v>878008</v>
      </c>
      <c r="Y65" s="35">
        <f t="shared" si="21"/>
        <v>2343836</v>
      </c>
      <c r="Z65" s="231">
        <f t="shared" si="22"/>
        <v>15.634</v>
      </c>
      <c r="AA65" s="231">
        <f t="shared" si="23"/>
        <v>24.229</v>
      </c>
      <c r="AB65" s="600">
        <f t="shared" si="24"/>
        <v>39.863</v>
      </c>
      <c r="AC65" s="606">
        <f t="shared" si="25"/>
        <v>3221844</v>
      </c>
      <c r="AD65" s="501">
        <f>+'[3]Sales Taxes'!C65</f>
        <v>0.02</v>
      </c>
      <c r="AE65" s="489">
        <f>+'[3]Sales Taxes'!D65</f>
        <v>7957256</v>
      </c>
      <c r="AF65" s="592">
        <f>+'[3]Sales Taxes'!E65</f>
        <v>0</v>
      </c>
      <c r="AG65" s="597">
        <f t="shared" si="26"/>
        <v>7957256</v>
      </c>
      <c r="AH65" s="595">
        <f t="shared" si="29"/>
        <v>397862800</v>
      </c>
      <c r="AI65" s="39">
        <f t="shared" si="27"/>
        <v>0.02</v>
      </c>
      <c r="AJ65" s="39">
        <f t="shared" si="28"/>
        <v>0</v>
      </c>
      <c r="AK65" s="752">
        <f>+'[3]Other Revenue'!N65</f>
        <v>487184</v>
      </c>
      <c r="AL65" s="505">
        <f t="shared" si="14"/>
        <v>11666284</v>
      </c>
    </row>
    <row r="66" spans="1:38" ht="12.75">
      <c r="A66" s="33">
        <v>59</v>
      </c>
      <c r="B66" s="405" t="s">
        <v>63</v>
      </c>
      <c r="C66" s="401"/>
      <c r="D66" s="469">
        <f>+'[3]2000 Property Assessments'!C64</f>
        <v>76807480</v>
      </c>
      <c r="E66" s="587">
        <f>+'[3]2000 Property Assessments'!D64</f>
        <v>28978860</v>
      </c>
      <c r="F66" s="35">
        <f t="shared" si="16"/>
        <v>47828620</v>
      </c>
      <c r="G66" s="745">
        <f>+'[3]Ad Valorem Taxes'!C65</f>
        <v>3.91</v>
      </c>
      <c r="H66" s="469">
        <f>+'[3]Ad Valorem Taxes'!D65</f>
        <v>165981</v>
      </c>
      <c r="I66" s="494">
        <f>+'[3]Ad Valorem Taxes'!E65</f>
        <v>15.07</v>
      </c>
      <c r="J66" s="469">
        <f>+'[3]Ad Valorem Taxes'!F65</f>
        <v>639726</v>
      </c>
      <c r="K66" s="493">
        <f>+'[3]Ad Valorem Taxes'!G65</f>
        <v>5.12</v>
      </c>
      <c r="L66" s="493">
        <f>+'[3]Ad Valorem Taxes'!H65</f>
        <v>5.12</v>
      </c>
      <c r="M66" s="493">
        <f>+'[3]Ad Valorem Taxes'!I65</f>
        <v>1</v>
      </c>
      <c r="N66" s="469">
        <f>+'[3]Ad Valorem Taxes'!J65</f>
        <v>13360</v>
      </c>
      <c r="O66" s="35">
        <f t="shared" si="17"/>
        <v>819067</v>
      </c>
      <c r="P66" s="493">
        <f>+'[3]Ad Valorem Taxes'!L65</f>
        <v>0</v>
      </c>
      <c r="Q66" s="469">
        <f>+'[3]Ad Valorem Taxes'!M65</f>
        <v>0</v>
      </c>
      <c r="R66" s="493">
        <f>+'[3]Ad Valorem Taxes'!N65</f>
        <v>18</v>
      </c>
      <c r="S66" s="493">
        <f>+'[3]Ad Valorem Taxes'!O65</f>
        <v>42</v>
      </c>
      <c r="T66" s="495">
        <f>+'[3]Ad Valorem Taxes'!P65</f>
        <v>2</v>
      </c>
      <c r="U66" s="469">
        <f>+'[3]Ad Valorem Taxes'!Q65</f>
        <v>746469</v>
      </c>
      <c r="V66" s="35">
        <f t="shared" si="18"/>
        <v>746469</v>
      </c>
      <c r="W66" s="59">
        <f t="shared" si="19"/>
        <v>18.98</v>
      </c>
      <c r="X66" s="35">
        <f t="shared" si="20"/>
        <v>805707</v>
      </c>
      <c r="Y66" s="35">
        <f t="shared" si="21"/>
        <v>759829</v>
      </c>
      <c r="Z66" s="231">
        <f t="shared" si="22"/>
        <v>15.607</v>
      </c>
      <c r="AA66" s="231">
        <f t="shared" si="23"/>
        <v>17.125</v>
      </c>
      <c r="AB66" s="600">
        <f t="shared" si="24"/>
        <v>32.732</v>
      </c>
      <c r="AC66" s="606">
        <f t="shared" si="25"/>
        <v>1565536</v>
      </c>
      <c r="AD66" s="501">
        <f>+'[3]Sales Taxes'!C66</f>
        <v>0.02</v>
      </c>
      <c r="AE66" s="489">
        <f>+'[3]Sales Taxes'!D66</f>
        <v>3240777</v>
      </c>
      <c r="AF66" s="592">
        <f>+'[3]Sales Taxes'!E66</f>
        <v>0</v>
      </c>
      <c r="AG66" s="597">
        <f t="shared" si="26"/>
        <v>3240777</v>
      </c>
      <c r="AH66" s="595">
        <f t="shared" si="29"/>
        <v>162038850</v>
      </c>
      <c r="AI66" s="39">
        <f t="shared" si="27"/>
        <v>0.02</v>
      </c>
      <c r="AJ66" s="39">
        <f t="shared" si="28"/>
        <v>0</v>
      </c>
      <c r="AK66" s="752">
        <f>+'[3]Other Revenue'!N66</f>
        <v>146703</v>
      </c>
      <c r="AL66" s="505">
        <f t="shared" si="14"/>
        <v>4953016</v>
      </c>
    </row>
    <row r="67" spans="1:38" ht="12.75">
      <c r="A67" s="47">
        <v>60</v>
      </c>
      <c r="B67" s="406" t="s">
        <v>64</v>
      </c>
      <c r="C67" s="402"/>
      <c r="D67" s="472">
        <f>+'[3]2000 Property Assessments'!C65</f>
        <v>156235400</v>
      </c>
      <c r="E67" s="588">
        <f>+'[3]2000 Property Assessments'!D65</f>
        <v>41609500</v>
      </c>
      <c r="F67" s="49">
        <f t="shared" si="16"/>
        <v>114625900</v>
      </c>
      <c r="G67" s="746">
        <f>+'[3]Ad Valorem Taxes'!C66</f>
        <v>5.77</v>
      </c>
      <c r="H67" s="472">
        <f>+'[3]Ad Valorem Taxes'!D66</f>
        <v>654583</v>
      </c>
      <c r="I67" s="497">
        <f>+'[3]Ad Valorem Taxes'!E66</f>
        <v>13.92</v>
      </c>
      <c r="J67" s="472">
        <f>+'[3]Ad Valorem Taxes'!F66</f>
        <v>2055616</v>
      </c>
      <c r="K67" s="496">
        <f>+'[3]Ad Valorem Taxes'!G66</f>
        <v>0</v>
      </c>
      <c r="L67" s="496">
        <f>+'[3]Ad Valorem Taxes'!H66</f>
        <v>0</v>
      </c>
      <c r="M67" s="496">
        <f>+'[3]Ad Valorem Taxes'!I66</f>
        <v>0</v>
      </c>
      <c r="N67" s="472">
        <f>+'[3]Ad Valorem Taxes'!J66</f>
        <v>0</v>
      </c>
      <c r="O67" s="49">
        <f t="shared" si="17"/>
        <v>2710199</v>
      </c>
      <c r="P67" s="496">
        <f>+'[3]Ad Valorem Taxes'!L66</f>
        <v>0</v>
      </c>
      <c r="Q67" s="472">
        <f>+'[3]Ad Valorem Taxes'!M66</f>
        <v>0</v>
      </c>
      <c r="R67" s="496">
        <f>+'[3]Ad Valorem Taxes'!N66</f>
        <v>20.5</v>
      </c>
      <c r="S67" s="496">
        <f>+'[3]Ad Valorem Taxes'!O66</f>
        <v>98.23</v>
      </c>
      <c r="T67" s="498">
        <f>+'[3]Ad Valorem Taxes'!P66</f>
        <v>7</v>
      </c>
      <c r="U67" s="472">
        <f>+'[3]Ad Valorem Taxes'!Q66</f>
        <v>1726085</v>
      </c>
      <c r="V67" s="49">
        <f t="shared" si="18"/>
        <v>1726085</v>
      </c>
      <c r="W67" s="60">
        <f t="shared" si="19"/>
        <v>19.689999999999998</v>
      </c>
      <c r="X67" s="49">
        <f t="shared" si="20"/>
        <v>2710199</v>
      </c>
      <c r="Y67" s="49">
        <f t="shared" si="21"/>
        <v>1726085</v>
      </c>
      <c r="Z67" s="232">
        <f t="shared" si="22"/>
        <v>15.058</v>
      </c>
      <c r="AA67" s="232">
        <f t="shared" si="23"/>
        <v>23.644</v>
      </c>
      <c r="AB67" s="601">
        <f t="shared" si="24"/>
        <v>38.702</v>
      </c>
      <c r="AC67" s="607">
        <f t="shared" si="25"/>
        <v>4436284</v>
      </c>
      <c r="AD67" s="502">
        <f>+'[3]Sales Taxes'!C67</f>
        <v>0.02</v>
      </c>
      <c r="AE67" s="490">
        <f>+'[3]Sales Taxes'!D67</f>
        <v>9661575</v>
      </c>
      <c r="AF67" s="593">
        <f>+'[3]Sales Taxes'!E67</f>
        <v>0</v>
      </c>
      <c r="AG67" s="598">
        <f t="shared" si="26"/>
        <v>9661575</v>
      </c>
      <c r="AH67" s="596">
        <f t="shared" si="29"/>
        <v>483078750</v>
      </c>
      <c r="AI67" s="52">
        <f t="shared" si="27"/>
        <v>0.02</v>
      </c>
      <c r="AJ67" s="52">
        <f t="shared" si="28"/>
        <v>0</v>
      </c>
      <c r="AK67" s="755">
        <f>+'[3]Other Revenue'!N67</f>
        <v>580382</v>
      </c>
      <c r="AL67" s="584">
        <f t="shared" si="14"/>
        <v>14678241</v>
      </c>
    </row>
    <row r="68" spans="1:38" ht="12.75">
      <c r="A68" s="33">
        <v>61</v>
      </c>
      <c r="B68" s="405" t="s">
        <v>65</v>
      </c>
      <c r="C68" s="401"/>
      <c r="D68" s="469">
        <f>+'[3]2000 Property Assessments'!C66</f>
        <v>196312690</v>
      </c>
      <c r="E68" s="587">
        <f>+'[3]2000 Property Assessments'!D66</f>
        <v>29326630</v>
      </c>
      <c r="F68" s="35">
        <f t="shared" si="16"/>
        <v>166986060</v>
      </c>
      <c r="G68" s="745">
        <f>+'[3]Ad Valorem Taxes'!C67</f>
        <v>4.39</v>
      </c>
      <c r="H68" s="469">
        <f>+'[3]Ad Valorem Taxes'!D67</f>
        <v>721217</v>
      </c>
      <c r="I68" s="494">
        <f>+'[3]Ad Valorem Taxes'!E67</f>
        <v>15</v>
      </c>
      <c r="J68" s="469">
        <f>+'[3]Ad Valorem Taxes'!F67</f>
        <v>2464291</v>
      </c>
      <c r="K68" s="493">
        <f>+'[3]Ad Valorem Taxes'!G67</f>
        <v>0</v>
      </c>
      <c r="L68" s="493">
        <f>+'[3]Ad Valorem Taxes'!H67</f>
        <v>0</v>
      </c>
      <c r="M68" s="493">
        <f>+'[3]Ad Valorem Taxes'!I67</f>
        <v>0</v>
      </c>
      <c r="N68" s="469">
        <f>+'[3]Ad Valorem Taxes'!J67</f>
        <v>0</v>
      </c>
      <c r="O68" s="35">
        <f t="shared" si="17"/>
        <v>3185508</v>
      </c>
      <c r="P68" s="493">
        <f>+'[3]Ad Valorem Taxes'!L67</f>
        <v>15</v>
      </c>
      <c r="Q68" s="469">
        <f>+'[3]Ad Valorem Taxes'!M67</f>
        <v>2464291</v>
      </c>
      <c r="R68" s="493">
        <f>+'[3]Ad Valorem Taxes'!N67</f>
        <v>0</v>
      </c>
      <c r="S68" s="493">
        <f>+'[3]Ad Valorem Taxes'!O67</f>
        <v>0</v>
      </c>
      <c r="T68" s="495">
        <f>+'[3]Ad Valorem Taxes'!P67</f>
        <v>0</v>
      </c>
      <c r="U68" s="469">
        <f>+'[3]Ad Valorem Taxes'!Q67</f>
        <v>0</v>
      </c>
      <c r="V68" s="35">
        <f t="shared" si="18"/>
        <v>2464291</v>
      </c>
      <c r="W68" s="59">
        <f t="shared" si="19"/>
        <v>34.39</v>
      </c>
      <c r="X68" s="35">
        <f t="shared" si="20"/>
        <v>5649799</v>
      </c>
      <c r="Y68" s="35">
        <f t="shared" si="21"/>
        <v>0</v>
      </c>
      <c r="Z68" s="231">
        <f t="shared" si="22"/>
        <v>14.757</v>
      </c>
      <c r="AA68" s="231">
        <f t="shared" si="23"/>
        <v>19.076</v>
      </c>
      <c r="AB68" s="600">
        <f t="shared" si="24"/>
        <v>33.834</v>
      </c>
      <c r="AC68" s="606">
        <f t="shared" si="25"/>
        <v>5649799</v>
      </c>
      <c r="AD68" s="501">
        <f>+'[3]Sales Taxes'!C68</f>
        <v>0.02</v>
      </c>
      <c r="AE68" s="489">
        <f>+'[3]Sales Taxes'!D68</f>
        <v>7931577</v>
      </c>
      <c r="AF68" s="592">
        <f>+'[3]Sales Taxes'!E68</f>
        <v>0</v>
      </c>
      <c r="AG68" s="597">
        <f t="shared" si="26"/>
        <v>7931577</v>
      </c>
      <c r="AH68" s="595">
        <f t="shared" si="29"/>
        <v>396578850</v>
      </c>
      <c r="AI68" s="39">
        <f t="shared" si="27"/>
        <v>0.02</v>
      </c>
      <c r="AJ68" s="39">
        <f t="shared" si="28"/>
        <v>0</v>
      </c>
      <c r="AK68" s="752">
        <f>+'[3]Other Revenue'!N68</f>
        <v>137256</v>
      </c>
      <c r="AL68" s="505">
        <f t="shared" si="14"/>
        <v>13718632</v>
      </c>
    </row>
    <row r="69" spans="1:38" ht="12.75">
      <c r="A69" s="33">
        <v>62</v>
      </c>
      <c r="B69" s="405" t="s">
        <v>66</v>
      </c>
      <c r="C69" s="401"/>
      <c r="D69" s="469">
        <f>+'[3]2000 Property Assessments'!C67</f>
        <v>47896820</v>
      </c>
      <c r="E69" s="587">
        <f>+'[3]2000 Property Assessments'!D67</f>
        <v>13569275</v>
      </c>
      <c r="F69" s="35">
        <f t="shared" si="16"/>
        <v>34327545</v>
      </c>
      <c r="G69" s="745">
        <f>+'[3]Ad Valorem Taxes'!C68</f>
        <v>6.34</v>
      </c>
      <c r="H69" s="469">
        <f>+'[3]Ad Valorem Taxes'!D68</f>
        <v>182254</v>
      </c>
      <c r="I69" s="494">
        <f>+'[3]Ad Valorem Taxes'!E68</f>
        <v>17.42</v>
      </c>
      <c r="J69" s="469">
        <f>+'[3]Ad Valorem Taxes'!F68</f>
        <v>500766</v>
      </c>
      <c r="K69" s="493">
        <f>+'[3]Ad Valorem Taxes'!G68</f>
        <v>5</v>
      </c>
      <c r="L69" s="493">
        <f>+'[3]Ad Valorem Taxes'!H68</f>
        <v>5</v>
      </c>
      <c r="M69" s="493">
        <f>+'[3]Ad Valorem Taxes'!I68</f>
        <v>1</v>
      </c>
      <c r="N69" s="469">
        <f>+'[3]Ad Valorem Taxes'!J68</f>
        <v>49143</v>
      </c>
      <c r="O69" s="35">
        <f t="shared" si="17"/>
        <v>732163</v>
      </c>
      <c r="P69" s="493">
        <f>+'[3]Ad Valorem Taxes'!L68</f>
        <v>0</v>
      </c>
      <c r="Q69" s="469">
        <f>+'[3]Ad Valorem Taxes'!M68</f>
        <v>0</v>
      </c>
      <c r="R69" s="493">
        <f>+'[3]Ad Valorem Taxes'!N68</f>
        <v>0</v>
      </c>
      <c r="S69" s="493">
        <f>+'[3]Ad Valorem Taxes'!O68</f>
        <v>0</v>
      </c>
      <c r="T69" s="495">
        <f>+'[3]Ad Valorem Taxes'!P68</f>
        <v>0</v>
      </c>
      <c r="U69" s="469">
        <f>+'[3]Ad Valorem Taxes'!Q68</f>
        <v>0</v>
      </c>
      <c r="V69" s="35">
        <f t="shared" si="18"/>
        <v>0</v>
      </c>
      <c r="W69" s="59">
        <f t="shared" si="19"/>
        <v>23.76</v>
      </c>
      <c r="X69" s="35">
        <f t="shared" si="20"/>
        <v>683020</v>
      </c>
      <c r="Y69" s="35">
        <f t="shared" si="21"/>
        <v>49143</v>
      </c>
      <c r="Z69" s="231">
        <f t="shared" si="22"/>
        <v>0</v>
      </c>
      <c r="AA69" s="231">
        <f t="shared" si="23"/>
        <v>21.329</v>
      </c>
      <c r="AB69" s="600">
        <f t="shared" si="24"/>
        <v>21.329</v>
      </c>
      <c r="AC69" s="606">
        <f t="shared" si="25"/>
        <v>732163</v>
      </c>
      <c r="AD69" s="501">
        <f>+'[3]Sales Taxes'!C69</f>
        <v>0.01</v>
      </c>
      <c r="AE69" s="489">
        <f>+'[3]Sales Taxes'!D69</f>
        <v>879777</v>
      </c>
      <c r="AF69" s="592">
        <f>+'[3]Sales Taxes'!E69</f>
        <v>0</v>
      </c>
      <c r="AG69" s="597">
        <f t="shared" si="26"/>
        <v>879777</v>
      </c>
      <c r="AH69" s="595">
        <f t="shared" si="29"/>
        <v>87977700</v>
      </c>
      <c r="AI69" s="39">
        <f t="shared" si="27"/>
        <v>0.01</v>
      </c>
      <c r="AJ69" s="39">
        <f t="shared" si="28"/>
        <v>0</v>
      </c>
      <c r="AK69" s="752">
        <f>+'[3]Other Revenue'!N69</f>
        <v>117485</v>
      </c>
      <c r="AL69" s="505">
        <f t="shared" si="14"/>
        <v>1729425</v>
      </c>
    </row>
    <row r="70" spans="1:38" ht="12.75">
      <c r="A70" s="33">
        <v>63</v>
      </c>
      <c r="B70" s="405" t="s">
        <v>67</v>
      </c>
      <c r="C70" s="401"/>
      <c r="D70" s="469">
        <f>+'[3]2000 Property Assessments'!C68</f>
        <v>306673579</v>
      </c>
      <c r="E70" s="587">
        <f>+'[3]2000 Property Assessments'!D68</f>
        <v>11709037</v>
      </c>
      <c r="F70" s="35">
        <f t="shared" si="16"/>
        <v>294964542</v>
      </c>
      <c r="G70" s="745">
        <f>+'[3]Ad Valorem Taxes'!C69</f>
        <v>4.46</v>
      </c>
      <c r="H70" s="469">
        <f>+'[3]Ad Valorem Taxes'!D69</f>
        <v>1251278</v>
      </c>
      <c r="I70" s="494">
        <f>+'[3]Ad Valorem Taxes'!E69</f>
        <v>14.75</v>
      </c>
      <c r="J70" s="469">
        <f>+'[3]Ad Valorem Taxes'!F69</f>
        <v>4138190</v>
      </c>
      <c r="K70" s="493">
        <f>+'[3]Ad Valorem Taxes'!G69</f>
        <v>0</v>
      </c>
      <c r="L70" s="493">
        <f>+'[3]Ad Valorem Taxes'!H69</f>
        <v>0</v>
      </c>
      <c r="M70" s="493">
        <f>+'[3]Ad Valorem Taxes'!I69</f>
        <v>0</v>
      </c>
      <c r="N70" s="469">
        <f>+'[3]Ad Valorem Taxes'!J69</f>
        <v>0</v>
      </c>
      <c r="O70" s="35">
        <f t="shared" si="17"/>
        <v>5389468</v>
      </c>
      <c r="P70" s="493">
        <f>+'[3]Ad Valorem Taxes'!L69</f>
        <v>4</v>
      </c>
      <c r="Q70" s="469">
        <f>+'[3]Ad Valorem Taxes'!M69</f>
        <v>1122648</v>
      </c>
      <c r="R70" s="493">
        <f>+'[3]Ad Valorem Taxes'!N69</f>
        <v>0</v>
      </c>
      <c r="S70" s="493">
        <f>+'[3]Ad Valorem Taxes'!O69</f>
        <v>0</v>
      </c>
      <c r="T70" s="495">
        <f>+'[3]Ad Valorem Taxes'!P69</f>
        <v>0</v>
      </c>
      <c r="U70" s="469">
        <f>+'[3]Ad Valorem Taxes'!Q69</f>
        <v>0</v>
      </c>
      <c r="V70" s="35">
        <f t="shared" si="18"/>
        <v>1122648</v>
      </c>
      <c r="W70" s="59">
        <f t="shared" si="19"/>
        <v>23.21</v>
      </c>
      <c r="X70" s="35">
        <f t="shared" si="20"/>
        <v>6512116</v>
      </c>
      <c r="Y70" s="35">
        <f t="shared" si="21"/>
        <v>0</v>
      </c>
      <c r="Z70" s="231">
        <f t="shared" si="22"/>
        <v>3.806</v>
      </c>
      <c r="AA70" s="231">
        <f t="shared" si="23"/>
        <v>18.272</v>
      </c>
      <c r="AB70" s="600">
        <f t="shared" si="24"/>
        <v>22.078</v>
      </c>
      <c r="AC70" s="606">
        <f t="shared" si="25"/>
        <v>6512116</v>
      </c>
      <c r="AD70" s="501">
        <f>+'[3]Sales Taxes'!C70</f>
        <v>0.02</v>
      </c>
      <c r="AE70" s="489">
        <f>+'[3]Sales Taxes'!D70</f>
        <v>3353018</v>
      </c>
      <c r="AF70" s="592">
        <f>+'[3]Sales Taxes'!E70</f>
        <v>0</v>
      </c>
      <c r="AG70" s="597">
        <f t="shared" si="26"/>
        <v>3353018</v>
      </c>
      <c r="AH70" s="595">
        <f t="shared" si="29"/>
        <v>167650900</v>
      </c>
      <c r="AI70" s="39">
        <f t="shared" si="27"/>
        <v>0.02</v>
      </c>
      <c r="AJ70" s="39">
        <f t="shared" si="28"/>
        <v>0</v>
      </c>
      <c r="AK70" s="752">
        <f>+'[3]Other Revenue'!N70</f>
        <v>60430</v>
      </c>
      <c r="AL70" s="505">
        <f t="shared" si="14"/>
        <v>9925564</v>
      </c>
    </row>
    <row r="71" spans="1:38" ht="12.75">
      <c r="A71" s="33">
        <v>64</v>
      </c>
      <c r="B71" s="405" t="s">
        <v>68</v>
      </c>
      <c r="C71" s="401"/>
      <c r="D71" s="469">
        <f>+'[3]2000 Property Assessments'!C69</f>
        <v>59311301</v>
      </c>
      <c r="E71" s="587">
        <f>+'[3]2000 Property Assessments'!D69</f>
        <v>14035790</v>
      </c>
      <c r="F71" s="35">
        <f t="shared" si="16"/>
        <v>45275511</v>
      </c>
      <c r="G71" s="745">
        <f>+'[3]Ad Valorem Taxes'!C70</f>
        <v>4.66</v>
      </c>
      <c r="H71" s="469">
        <f>+'[3]Ad Valorem Taxes'!D70</f>
        <v>205942</v>
      </c>
      <c r="I71" s="494">
        <f>+'[3]Ad Valorem Taxes'!E70</f>
        <v>16.28</v>
      </c>
      <c r="J71" s="469">
        <f>+'[3]Ad Valorem Taxes'!F70</f>
        <v>722282</v>
      </c>
      <c r="K71" s="493">
        <f>+'[3]Ad Valorem Taxes'!G70</f>
        <v>3</v>
      </c>
      <c r="L71" s="493">
        <f>+'[3]Ad Valorem Taxes'!H70</f>
        <v>3</v>
      </c>
      <c r="M71" s="493">
        <f>+'[3]Ad Valorem Taxes'!I70</f>
        <v>1</v>
      </c>
      <c r="N71" s="469">
        <f>+'[3]Ad Valorem Taxes'!J70</f>
        <v>87333</v>
      </c>
      <c r="O71" s="35">
        <f t="shared" si="17"/>
        <v>1015557</v>
      </c>
      <c r="P71" s="493">
        <f>+'[3]Ad Valorem Taxes'!L70</f>
        <v>0</v>
      </c>
      <c r="Q71" s="469">
        <f>+'[3]Ad Valorem Taxes'!M70</f>
        <v>0</v>
      </c>
      <c r="R71" s="493">
        <f>+'[3]Ad Valorem Taxes'!N70</f>
        <v>28</v>
      </c>
      <c r="S71" s="493">
        <f>+'[3]Ad Valorem Taxes'!O70</f>
        <v>41</v>
      </c>
      <c r="T71" s="495">
        <f>+'[3]Ad Valorem Taxes'!P70</f>
        <v>4</v>
      </c>
      <c r="U71" s="469">
        <f>+'[3]Ad Valorem Taxes'!Q70</f>
        <v>1252347</v>
      </c>
      <c r="V71" s="35">
        <f t="shared" si="18"/>
        <v>1252347</v>
      </c>
      <c r="W71" s="59">
        <f t="shared" si="19"/>
        <v>20.94</v>
      </c>
      <c r="X71" s="35">
        <f t="shared" si="20"/>
        <v>928224</v>
      </c>
      <c r="Y71" s="35">
        <f t="shared" si="21"/>
        <v>1339680</v>
      </c>
      <c r="Z71" s="231">
        <f t="shared" si="22"/>
        <v>27.661</v>
      </c>
      <c r="AA71" s="231">
        <f t="shared" si="23"/>
        <v>22.431</v>
      </c>
      <c r="AB71" s="600">
        <f t="shared" si="24"/>
        <v>50.091</v>
      </c>
      <c r="AC71" s="606">
        <f t="shared" si="25"/>
        <v>2267904</v>
      </c>
      <c r="AD71" s="501">
        <f>+'[3]Sales Taxes'!C71</f>
        <v>0.02</v>
      </c>
      <c r="AE71" s="489">
        <f>+'[3]Sales Taxes'!D71</f>
        <v>3145873</v>
      </c>
      <c r="AF71" s="592">
        <f>+'[3]Sales Taxes'!E71</f>
        <v>0</v>
      </c>
      <c r="AG71" s="597">
        <f t="shared" si="26"/>
        <v>3145873</v>
      </c>
      <c r="AH71" s="595">
        <f t="shared" si="29"/>
        <v>157293650</v>
      </c>
      <c r="AI71" s="39">
        <f t="shared" si="27"/>
        <v>0.02</v>
      </c>
      <c r="AJ71" s="39">
        <f t="shared" si="28"/>
        <v>0</v>
      </c>
      <c r="AK71" s="752">
        <f>+'[3]Other Revenue'!N71</f>
        <v>310666.5</v>
      </c>
      <c r="AL71" s="505">
        <f t="shared" si="14"/>
        <v>5724443.5</v>
      </c>
    </row>
    <row r="72" spans="1:38" ht="12.75">
      <c r="A72" s="33">
        <v>65</v>
      </c>
      <c r="B72" s="405" t="s">
        <v>69</v>
      </c>
      <c r="C72" s="401"/>
      <c r="D72" s="469">
        <f>+'[3]2000 Property Assessments'!C70</f>
        <v>312380783</v>
      </c>
      <c r="E72" s="587">
        <f>+'[3]2000 Property Assessments'!D70</f>
        <v>43040211</v>
      </c>
      <c r="F72" s="35">
        <f>D72-E72</f>
        <v>269340572</v>
      </c>
      <c r="G72" s="745">
        <f>+'[3]Ad Valorem Taxes'!C71</f>
        <v>6.44</v>
      </c>
      <c r="H72" s="469">
        <f>+'[3]Ad Valorem Taxes'!D71</f>
        <v>1658113</v>
      </c>
      <c r="I72" s="494">
        <f>+'[3]Ad Valorem Taxes'!E71</f>
        <v>20.25</v>
      </c>
      <c r="J72" s="469">
        <f>+'[3]Ad Valorem Taxes'!F71</f>
        <v>5290822</v>
      </c>
      <c r="K72" s="493">
        <f>+'[3]Ad Valorem Taxes'!G71</f>
        <v>0</v>
      </c>
      <c r="L72" s="493">
        <f>+'[3]Ad Valorem Taxes'!H71</f>
        <v>0</v>
      </c>
      <c r="M72" s="493">
        <f>+'[3]Ad Valorem Taxes'!I71</f>
        <v>0</v>
      </c>
      <c r="N72" s="469">
        <f>+'[3]Ad Valorem Taxes'!J71</f>
        <v>0</v>
      </c>
      <c r="O72" s="35">
        <f>H72+J72+N72</f>
        <v>6948935</v>
      </c>
      <c r="P72" s="493">
        <f>+'[3]Ad Valorem Taxes'!L71</f>
        <v>21.25</v>
      </c>
      <c r="Q72" s="469">
        <f>+'[3]Ad Valorem Taxes'!M71</f>
        <v>5512886</v>
      </c>
      <c r="R72" s="493">
        <f>+'[3]Ad Valorem Taxes'!N71</f>
        <v>0</v>
      </c>
      <c r="S72" s="493">
        <f>+'[3]Ad Valorem Taxes'!O71</f>
        <v>0</v>
      </c>
      <c r="T72" s="495">
        <f>+'[3]Ad Valorem Taxes'!P71</f>
        <v>0</v>
      </c>
      <c r="U72" s="469">
        <f>+'[3]Ad Valorem Taxes'!Q71</f>
        <v>0</v>
      </c>
      <c r="V72" s="35">
        <f>Q72+U72</f>
        <v>5512886</v>
      </c>
      <c r="W72" s="59">
        <f t="shared" si="19"/>
        <v>47.94</v>
      </c>
      <c r="X72" s="35">
        <f t="shared" si="20"/>
        <v>12461821</v>
      </c>
      <c r="Y72" s="35">
        <f t="shared" si="21"/>
        <v>0</v>
      </c>
      <c r="Z72" s="231">
        <f t="shared" si="22"/>
        <v>20.468</v>
      </c>
      <c r="AA72" s="231">
        <f t="shared" si="23"/>
        <v>25.8</v>
      </c>
      <c r="AB72" s="600">
        <f>ROUND((AC72/F72)*1000,3)</f>
        <v>46.268</v>
      </c>
      <c r="AC72" s="606">
        <f t="shared" si="25"/>
        <v>12461821</v>
      </c>
      <c r="AD72" s="501">
        <f>+'[3]Sales Taxes'!C72</f>
        <v>0.01</v>
      </c>
      <c r="AE72" s="489">
        <f>+'[3]Sales Taxes'!D72</f>
        <v>10006857</v>
      </c>
      <c r="AF72" s="592">
        <f>+'[3]Sales Taxes'!E72</f>
        <v>0</v>
      </c>
      <c r="AG72" s="597">
        <f>SUM(AE72+AF72)</f>
        <v>10006857</v>
      </c>
      <c r="AH72" s="595">
        <f t="shared" si="29"/>
        <v>1000685700</v>
      </c>
      <c r="AI72" s="39">
        <f>ROUND(AE72/AH72,4)</f>
        <v>0.01</v>
      </c>
      <c r="AJ72" s="39">
        <f t="shared" si="28"/>
        <v>0</v>
      </c>
      <c r="AK72" s="752">
        <f>+'[3]Other Revenue'!N72</f>
        <v>336416</v>
      </c>
      <c r="AL72" s="505">
        <f t="shared" si="14"/>
        <v>22805094</v>
      </c>
    </row>
    <row r="73" spans="1:38" ht="12.75">
      <c r="A73" s="33">
        <v>66</v>
      </c>
      <c r="B73" s="405" t="s">
        <v>70</v>
      </c>
      <c r="C73" s="401"/>
      <c r="D73" s="469">
        <f>+'[3]2000 Property Assessments'!C71</f>
        <v>60806640</v>
      </c>
      <c r="E73" s="587">
        <f>+'[3]2000 Property Assessments'!D71</f>
        <v>18836710</v>
      </c>
      <c r="F73" s="35">
        <f>D73-E73</f>
        <v>41969930</v>
      </c>
      <c r="G73" s="745">
        <f>+'[3]Ad Valorem Taxes'!C72</f>
        <v>6.44</v>
      </c>
      <c r="H73" s="469">
        <f>+'[3]Ad Valorem Taxes'!D72</f>
        <v>253715</v>
      </c>
      <c r="I73" s="494">
        <f>+'[3]Ad Valorem Taxes'!E72</f>
        <v>44.38</v>
      </c>
      <c r="J73" s="469">
        <f>+'[3]Ad Valorem Taxes'!F72</f>
        <v>1754960</v>
      </c>
      <c r="K73" s="493">
        <f>+'[3]Ad Valorem Taxes'!G72</f>
        <v>0</v>
      </c>
      <c r="L73" s="493">
        <f>+'[3]Ad Valorem Taxes'!H72</f>
        <v>0</v>
      </c>
      <c r="M73" s="493">
        <f>+'[3]Ad Valorem Taxes'!I72</f>
        <v>0</v>
      </c>
      <c r="N73" s="469">
        <f>+'[3]Ad Valorem Taxes'!J72</f>
        <v>0</v>
      </c>
      <c r="O73" s="35">
        <f>H73+J73+N73</f>
        <v>2008675</v>
      </c>
      <c r="P73" s="493">
        <f>+'[3]Ad Valorem Taxes'!L72</f>
        <v>0</v>
      </c>
      <c r="Q73" s="469">
        <f>+'[3]Ad Valorem Taxes'!M72</f>
        <v>0</v>
      </c>
      <c r="R73" s="493">
        <f>+'[3]Ad Valorem Taxes'!N72</f>
        <v>0</v>
      </c>
      <c r="S73" s="493">
        <f>+'[3]Ad Valorem Taxes'!O72</f>
        <v>0</v>
      </c>
      <c r="T73" s="495">
        <f>+'[3]Ad Valorem Taxes'!P72</f>
        <v>0</v>
      </c>
      <c r="U73" s="469">
        <f>+'[3]Ad Valorem Taxes'!Q72</f>
        <v>0</v>
      </c>
      <c r="V73" s="35">
        <f>Q73+U73</f>
        <v>0</v>
      </c>
      <c r="W73" s="59">
        <f t="shared" si="19"/>
        <v>50.82</v>
      </c>
      <c r="X73" s="35">
        <f t="shared" si="20"/>
        <v>2008675</v>
      </c>
      <c r="Y73" s="35">
        <f t="shared" si="21"/>
        <v>0</v>
      </c>
      <c r="Z73" s="231">
        <f t="shared" si="22"/>
        <v>0</v>
      </c>
      <c r="AA73" s="231">
        <f t="shared" si="23"/>
        <v>47.86</v>
      </c>
      <c r="AB73" s="600">
        <f>ROUND((AC73/F73)*1000,3)</f>
        <v>47.86</v>
      </c>
      <c r="AC73" s="606">
        <f t="shared" si="25"/>
        <v>2008675</v>
      </c>
      <c r="AD73" s="501">
        <f>+'[3]Sales Taxes'!C73</f>
        <v>0.01</v>
      </c>
      <c r="AE73" s="489">
        <f>+'[3]Sales Taxes'!D73</f>
        <v>2060736</v>
      </c>
      <c r="AF73" s="592">
        <f>+'[3]Sales Taxes'!E73</f>
        <v>0</v>
      </c>
      <c r="AG73" s="597">
        <f>SUM(AE73+AF73)</f>
        <v>2060736</v>
      </c>
      <c r="AH73" s="595">
        <f t="shared" si="29"/>
        <v>206073600</v>
      </c>
      <c r="AI73" s="39">
        <f>ROUND(AE73/AH73,4)</f>
        <v>0.01</v>
      </c>
      <c r="AJ73" s="39">
        <f t="shared" si="28"/>
        <v>0</v>
      </c>
      <c r="AK73" s="752">
        <f>+'[3]Other Revenue'!N73</f>
        <v>252406</v>
      </c>
      <c r="AL73" s="505">
        <f>+AK73+AG73+AC73</f>
        <v>4321817</v>
      </c>
    </row>
    <row r="74" spans="1:38" ht="12.75">
      <c r="A74" s="29"/>
      <c r="B74" s="399"/>
      <c r="C74" s="400"/>
      <c r="D74" s="30"/>
      <c r="E74" s="399"/>
      <c r="F74" s="30"/>
      <c r="G74" s="747"/>
      <c r="H74" s="30"/>
      <c r="I74" s="30"/>
      <c r="J74" s="30"/>
      <c r="K74" s="59"/>
      <c r="L74" s="59"/>
      <c r="M74" s="30"/>
      <c r="N74" s="30"/>
      <c r="O74" s="30"/>
      <c r="P74" s="30"/>
      <c r="Q74" s="30"/>
      <c r="R74" s="59"/>
      <c r="S74" s="59"/>
      <c r="T74" s="30"/>
      <c r="U74" s="30"/>
      <c r="V74" s="30"/>
      <c r="W74" s="30"/>
      <c r="X74" s="30" t="s">
        <v>5</v>
      </c>
      <c r="Y74" s="30"/>
      <c r="Z74" s="45"/>
      <c r="AA74" s="45"/>
      <c r="AB74" s="602"/>
      <c r="AC74" s="608"/>
      <c r="AD74" s="400"/>
      <c r="AE74" s="30"/>
      <c r="AF74" s="399"/>
      <c r="AG74" s="508"/>
      <c r="AH74" s="400"/>
      <c r="AI74" s="41"/>
      <c r="AJ74" s="30"/>
      <c r="AK74" s="751"/>
      <c r="AL74" s="400"/>
    </row>
    <row r="75" spans="1:38" ht="13.5" thickBot="1">
      <c r="A75" s="43"/>
      <c r="B75" s="407" t="s">
        <v>71</v>
      </c>
      <c r="C75" s="403"/>
      <c r="D75" s="184">
        <f>SUM(D8:D73)</f>
        <v>22512535656</v>
      </c>
      <c r="E75" s="589">
        <f>SUM(E8:E73)</f>
        <v>5498192685</v>
      </c>
      <c r="F75" s="184">
        <f>SUM(F8:F73)</f>
        <v>17014342971</v>
      </c>
      <c r="G75" s="748"/>
      <c r="H75" s="184">
        <f>SUM(H8:H73)</f>
        <v>116007211</v>
      </c>
      <c r="I75" s="183"/>
      <c r="J75" s="184">
        <f>SUM(J8:J73)</f>
        <v>411087894</v>
      </c>
      <c r="K75" s="183"/>
      <c r="L75" s="183"/>
      <c r="M75" s="183"/>
      <c r="N75" s="184">
        <f>SUM(N8:N73)</f>
        <v>14430994</v>
      </c>
      <c r="O75" s="184">
        <f>SUM(O8:O73)</f>
        <v>541526099</v>
      </c>
      <c r="P75" s="183"/>
      <c r="Q75" s="184">
        <f>SUM(Q8:Q73)</f>
        <v>89254279</v>
      </c>
      <c r="R75" s="183"/>
      <c r="S75" s="183"/>
      <c r="T75" s="183"/>
      <c r="U75" s="184">
        <f>SUM(U8:U73)</f>
        <v>63754082</v>
      </c>
      <c r="V75" s="184">
        <f>SUM(V8:V73)</f>
        <v>153008361</v>
      </c>
      <c r="W75" s="183"/>
      <c r="X75" s="184">
        <f>SUM(X8:X73)</f>
        <v>616349384</v>
      </c>
      <c r="Y75" s="184">
        <f>SUM(Y8:Y73)</f>
        <v>78185076</v>
      </c>
      <c r="Z75" s="233">
        <f>ROUND((V75/F75)*1000,3)</f>
        <v>8.993</v>
      </c>
      <c r="AA75" s="203">
        <f>ROUND((O75/F75)*1000,3)</f>
        <v>31.828</v>
      </c>
      <c r="AB75" s="603">
        <f>ROUND((AC75/F75)*1000,3)</f>
        <v>40.821</v>
      </c>
      <c r="AC75" s="609">
        <f>SUM(AC8:AC73)</f>
        <v>694534460</v>
      </c>
      <c r="AD75" s="503">
        <f>ROUND(AG75/AH75,4)</f>
        <v>0.0182</v>
      </c>
      <c r="AE75" s="184">
        <f>SUM(AE8:AE73)</f>
        <v>1020102454</v>
      </c>
      <c r="AF75" s="589">
        <f>SUM(AF8:AF73)</f>
        <v>29311611</v>
      </c>
      <c r="AG75" s="509">
        <f>SUM(AG8:AG73)</f>
        <v>1049414065</v>
      </c>
      <c r="AH75" s="506">
        <f>SUM(AH8:AH73)</f>
        <v>57659777019</v>
      </c>
      <c r="AI75" s="194">
        <f>ROUND(AE75/$AH75,4)</f>
        <v>0.0177</v>
      </c>
      <c r="AJ75" s="194">
        <f>ROUND(AF75/$AH75,4)</f>
        <v>0.0005</v>
      </c>
      <c r="AK75" s="753">
        <f>SUM(AK8:AK73)</f>
        <v>37911746</v>
      </c>
      <c r="AL75" s="506">
        <f>SUM(AL8:AL73)</f>
        <v>1781860271</v>
      </c>
    </row>
    <row r="76" ht="13.5" thickTop="1"/>
  </sheetData>
  <mergeCells count="14">
    <mergeCell ref="D4:E4"/>
    <mergeCell ref="F4:F5"/>
    <mergeCell ref="W4:AB4"/>
    <mergeCell ref="AC4:AC5"/>
    <mergeCell ref="G4:H4"/>
    <mergeCell ref="I4:N4"/>
    <mergeCell ref="P4:U4"/>
    <mergeCell ref="AL4:AL5"/>
    <mergeCell ref="O4:O5"/>
    <mergeCell ref="V4:V5"/>
    <mergeCell ref="AK4:AK5"/>
    <mergeCell ref="AD4:AF4"/>
    <mergeCell ref="AG4:AG5"/>
    <mergeCell ref="AH4:AJ4"/>
  </mergeCells>
  <printOptions horizontalCentered="1"/>
  <pageMargins left="0.23" right="0.29" top="0.92" bottom="0.67" header="0.46" footer="0.4"/>
  <pageSetup firstPageNumber="17" useFirstPageNumber="1" horizontalDpi="600" verticalDpi="600" orientation="portrait" paperSize="5" scale="82" r:id="rId1"/>
  <headerFooter alignWithMargins="0">
    <oddHeader>&amp;L&amp;"Arial,Bold"&amp;18TABLE 7 - -  2000-2001 LOCAL SALES AND PROPERTY TAX REVENUES</oddHeader>
    <oddFooter>&amp;L&amp;12&amp;F, &amp;A&amp;R&amp;12 &amp;P</oddFooter>
  </headerFooter>
  <colBreaks count="3" manualBreakCount="3">
    <brk id="6" max="65535" man="1"/>
    <brk id="15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M84"/>
  <sheetViews>
    <sheetView workbookViewId="0" topLeftCell="A1">
      <pane xSplit="2" ySplit="8" topLeftCell="O77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3" sqref="B3"/>
    </sheetView>
  </sheetViews>
  <sheetFormatPr defaultColWidth="9.140625" defaultRowHeight="12.75"/>
  <cols>
    <col min="1" max="1" width="4.57421875" style="0" hidden="1" customWidth="1"/>
    <col min="2" max="2" width="23.00390625" style="0" customWidth="1"/>
    <col min="3" max="3" width="7.421875" style="0" customWidth="1"/>
    <col min="4" max="4" width="6.7109375" style="0" customWidth="1"/>
    <col min="5" max="8" width="7.7109375" style="0" customWidth="1"/>
    <col min="9" max="9" width="7.8515625" style="0" customWidth="1"/>
    <col min="10" max="12" width="7.7109375" style="0" customWidth="1"/>
    <col min="13" max="13" width="9.00390625" style="0" customWidth="1"/>
    <col min="14" max="14" width="11.140625" style="0" customWidth="1"/>
    <col min="15" max="15" width="9.57421875" style="0" customWidth="1"/>
    <col min="16" max="16" width="10.00390625" style="0" customWidth="1"/>
    <col min="17" max="17" width="9.57421875" style="0" customWidth="1"/>
    <col min="18" max="18" width="7.00390625" style="0" customWidth="1"/>
    <col min="19" max="19" width="8.140625" style="0" customWidth="1"/>
    <col min="20" max="20" width="9.421875" style="0" customWidth="1"/>
    <col min="21" max="21" width="10.00390625" style="0" customWidth="1"/>
    <col min="22" max="22" width="1.28515625" style="295" customWidth="1"/>
    <col min="23" max="23" width="9.7109375" style="0" customWidth="1"/>
    <col min="24" max="24" width="10.8515625" style="0" customWidth="1"/>
    <col min="25" max="25" width="10.57421875" style="0" customWidth="1"/>
    <col min="26" max="26" width="11.57421875" style="0" customWidth="1"/>
  </cols>
  <sheetData>
    <row r="2" spans="1:24" ht="23.25">
      <c r="A2" s="235"/>
      <c r="B2" s="227"/>
      <c r="C2" s="726" t="s">
        <v>647</v>
      </c>
      <c r="D2" s="727"/>
      <c r="E2" s="727"/>
      <c r="F2" s="727"/>
      <c r="G2" s="727"/>
      <c r="H2" s="218"/>
      <c r="I2" s="218"/>
      <c r="J2" s="218"/>
      <c r="K2" s="218"/>
      <c r="L2" s="218"/>
      <c r="M2" s="218"/>
      <c r="N2" s="217" t="s">
        <v>541</v>
      </c>
      <c r="O2" s="218"/>
      <c r="P2" s="218"/>
      <c r="Q2" s="218"/>
      <c r="R2" s="218"/>
      <c r="S2" s="218"/>
      <c r="T2" s="218"/>
      <c r="U2" s="218"/>
      <c r="V2" s="792"/>
      <c r="W2" s="218"/>
      <c r="X2" s="218"/>
    </row>
    <row r="3" ht="32.25" customHeight="1">
      <c r="U3" s="454" t="s">
        <v>648</v>
      </c>
    </row>
    <row r="4" spans="1:26" ht="12.75">
      <c r="A4" s="415"/>
      <c r="B4" s="415"/>
      <c r="C4" s="900" t="s">
        <v>387</v>
      </c>
      <c r="D4" s="901"/>
      <c r="E4" s="901"/>
      <c r="F4" s="901"/>
      <c r="G4" s="901"/>
      <c r="H4" s="901"/>
      <c r="I4" s="901"/>
      <c r="J4" s="901"/>
      <c r="K4" s="901"/>
      <c r="L4" s="901"/>
      <c r="M4" s="902"/>
      <c r="N4" s="900" t="s">
        <v>388</v>
      </c>
      <c r="O4" s="901"/>
      <c r="P4" s="901"/>
      <c r="Q4" s="901"/>
      <c r="R4" s="901"/>
      <c r="S4" s="901"/>
      <c r="T4" s="902"/>
      <c r="U4" s="728" t="s">
        <v>389</v>
      </c>
      <c r="W4" s="787" t="s">
        <v>649</v>
      </c>
      <c r="X4" s="415"/>
      <c r="Y4" s="415"/>
      <c r="Z4" s="415"/>
    </row>
    <row r="5" spans="1:26" ht="12.75">
      <c r="A5" s="416" t="s">
        <v>308</v>
      </c>
      <c r="B5" s="417" t="s">
        <v>111</v>
      </c>
      <c r="C5" s="903"/>
      <c r="D5" s="904"/>
      <c r="E5" s="904"/>
      <c r="F5" s="904"/>
      <c r="G5" s="904"/>
      <c r="H5" s="904"/>
      <c r="I5" s="904"/>
      <c r="J5" s="904"/>
      <c r="K5" s="904"/>
      <c r="L5" s="904"/>
      <c r="M5" s="905"/>
      <c r="N5" s="903"/>
      <c r="O5" s="904"/>
      <c r="P5" s="904"/>
      <c r="Q5" s="904"/>
      <c r="R5" s="904"/>
      <c r="S5" s="904"/>
      <c r="T5" s="905"/>
      <c r="U5" s="729">
        <v>2001</v>
      </c>
      <c r="W5" s="788">
        <v>2000</v>
      </c>
      <c r="X5" s="416"/>
      <c r="Y5" s="416"/>
      <c r="Z5" s="417"/>
    </row>
    <row r="6" spans="1:26" s="219" customFormat="1" ht="30" customHeight="1">
      <c r="A6" s="418"/>
      <c r="B6" s="418"/>
      <c r="C6" s="419" t="s">
        <v>390</v>
      </c>
      <c r="D6" s="776" t="s">
        <v>391</v>
      </c>
      <c r="E6" s="419" t="s">
        <v>392</v>
      </c>
      <c r="F6" s="419" t="s">
        <v>393</v>
      </c>
      <c r="G6" s="419" t="s">
        <v>394</v>
      </c>
      <c r="H6" s="419" t="s">
        <v>395</v>
      </c>
      <c r="I6" s="419" t="s">
        <v>396</v>
      </c>
      <c r="J6" s="419" t="s">
        <v>397</v>
      </c>
      <c r="K6" s="419" t="s">
        <v>398</v>
      </c>
      <c r="L6" s="419" t="s">
        <v>399</v>
      </c>
      <c r="M6" s="419" t="s">
        <v>400</v>
      </c>
      <c r="N6" s="419" t="s">
        <v>401</v>
      </c>
      <c r="O6" s="419" t="s">
        <v>402</v>
      </c>
      <c r="P6" s="419" t="s">
        <v>403</v>
      </c>
      <c r="Q6" s="419" t="s">
        <v>404</v>
      </c>
      <c r="R6" s="419" t="s">
        <v>405</v>
      </c>
      <c r="S6" s="419" t="s">
        <v>406</v>
      </c>
      <c r="T6" s="419" t="s">
        <v>407</v>
      </c>
      <c r="U6" s="729" t="s">
        <v>408</v>
      </c>
      <c r="V6" s="295"/>
      <c r="W6" s="789" t="s">
        <v>408</v>
      </c>
      <c r="X6" s="585" t="s">
        <v>266</v>
      </c>
      <c r="Y6" s="585" t="s">
        <v>723</v>
      </c>
      <c r="Z6" s="585" t="s">
        <v>722</v>
      </c>
    </row>
    <row r="7" spans="1:26" s="219" customFormat="1" ht="12.75">
      <c r="A7" s="418"/>
      <c r="B7" s="418"/>
      <c r="C7" s="418"/>
      <c r="D7" s="77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781"/>
      <c r="U7" s="729"/>
      <c r="V7" s="295"/>
      <c r="W7" s="788" t="s">
        <v>653</v>
      </c>
      <c r="X7" s="417"/>
      <c r="Y7" s="417"/>
      <c r="Z7" s="417"/>
    </row>
    <row r="8" spans="1:26" ht="12.75">
      <c r="A8" s="398"/>
      <c r="B8" s="411"/>
      <c r="C8" s="210" t="s">
        <v>131</v>
      </c>
      <c r="D8" s="500" t="s">
        <v>373</v>
      </c>
      <c r="E8" s="210" t="s">
        <v>132</v>
      </c>
      <c r="F8" s="210" t="s">
        <v>133</v>
      </c>
      <c r="G8" s="210" t="s">
        <v>134</v>
      </c>
      <c r="H8" s="210" t="s">
        <v>135</v>
      </c>
      <c r="I8" s="210" t="s">
        <v>136</v>
      </c>
      <c r="J8" s="210" t="s">
        <v>137</v>
      </c>
      <c r="K8" s="210" t="s">
        <v>138</v>
      </c>
      <c r="L8" s="210" t="s">
        <v>139</v>
      </c>
      <c r="M8" s="210" t="s">
        <v>140</v>
      </c>
      <c r="N8" s="210" t="s">
        <v>141</v>
      </c>
      <c r="O8" s="210" t="s">
        <v>214</v>
      </c>
      <c r="P8" s="210" t="s">
        <v>321</v>
      </c>
      <c r="Q8" s="210" t="s">
        <v>322</v>
      </c>
      <c r="R8" s="210" t="s">
        <v>215</v>
      </c>
      <c r="S8" s="210" t="s">
        <v>323</v>
      </c>
      <c r="T8" s="210" t="s">
        <v>324</v>
      </c>
      <c r="U8" s="210" t="s">
        <v>325</v>
      </c>
      <c r="V8" s="786"/>
      <c r="W8" s="500" t="s">
        <v>326</v>
      </c>
      <c r="X8" s="210" t="s">
        <v>327</v>
      </c>
      <c r="Y8" s="210" t="s">
        <v>328</v>
      </c>
      <c r="Z8" s="210" t="s">
        <v>329</v>
      </c>
    </row>
    <row r="9" spans="1:26" ht="12.75">
      <c r="A9" s="33">
        <v>1</v>
      </c>
      <c r="B9" s="221" t="s">
        <v>410</v>
      </c>
      <c r="C9" s="778">
        <f>+'[4]2001Tab7'!B10</f>
        <v>50</v>
      </c>
      <c r="D9" s="510">
        <f>+'[4]2001Tab7'!C10</f>
        <v>79</v>
      </c>
      <c r="E9" s="510">
        <f>+'[4]2001Tab7'!D10</f>
        <v>751</v>
      </c>
      <c r="F9" s="510">
        <f>+'[4]2001Tab7'!E10</f>
        <v>851</v>
      </c>
      <c r="G9" s="510">
        <f>+'[4]2001Tab7'!F10</f>
        <v>690</v>
      </c>
      <c r="H9" s="510">
        <f>+'[4]2001Tab7'!G10</f>
        <v>788</v>
      </c>
      <c r="I9" s="510">
        <f>+'[4]2001Tab7'!H10</f>
        <v>843</v>
      </c>
      <c r="J9" s="510">
        <f>+'[4]2001Tab7'!I10</f>
        <v>742</v>
      </c>
      <c r="K9" s="510">
        <f>+'[4]2001Tab7'!J10</f>
        <v>799</v>
      </c>
      <c r="L9" s="510">
        <f>+'[4]2001Tab7'!K10</f>
        <v>772</v>
      </c>
      <c r="M9" s="773">
        <f>+'[4]2001Tab7'!L10</f>
        <v>724</v>
      </c>
      <c r="N9" s="770">
        <f>+'[4]2001Tab7'!M10</f>
        <v>695</v>
      </c>
      <c r="O9" s="510">
        <f>+'[4]2001Tab7'!N10</f>
        <v>627</v>
      </c>
      <c r="P9" s="510">
        <f>+'[4]2001Tab7'!O10</f>
        <v>601</v>
      </c>
      <c r="Q9" s="510">
        <f>+'[4]2001Tab7'!P10</f>
        <v>510</v>
      </c>
      <c r="R9" s="510">
        <f>+'[4]2001Tab7'!Q10</f>
        <v>0</v>
      </c>
      <c r="S9" s="510">
        <f>+'[4]2001Tab7'!R10</f>
        <v>0</v>
      </c>
      <c r="T9" s="510">
        <f>+'[4]2001Tab7'!S10</f>
        <v>63</v>
      </c>
      <c r="U9" s="782">
        <f aca="true" t="shared" si="0" ref="U9:U72">SUM(C9:T9)</f>
        <v>9585</v>
      </c>
      <c r="V9" s="785"/>
      <c r="W9" s="790">
        <f>'[11]EOY comparison included'!E3</f>
        <v>9810</v>
      </c>
      <c r="X9" s="458">
        <f aca="true" t="shared" si="1" ref="X9:X40">+U9-W9</f>
        <v>-225</v>
      </c>
      <c r="Y9" s="222">
        <f>IF(X9&gt;0,X9,0)</f>
        <v>0</v>
      </c>
      <c r="Z9" s="222">
        <f>IF(X9&lt;0,X9,0)</f>
        <v>-225</v>
      </c>
    </row>
    <row r="10" spans="1:26" ht="12.75">
      <c r="A10" s="33">
        <v>2</v>
      </c>
      <c r="B10" s="221" t="s">
        <v>411</v>
      </c>
      <c r="C10" s="779">
        <f>+'[4]2001Tab7'!B11</f>
        <v>2</v>
      </c>
      <c r="D10" s="510">
        <f>+'[4]2001Tab7'!C11</f>
        <v>21</v>
      </c>
      <c r="E10" s="510">
        <f>+'[4]2001Tab7'!D11</f>
        <v>317</v>
      </c>
      <c r="F10" s="510">
        <f>+'[4]2001Tab7'!E11</f>
        <v>372</v>
      </c>
      <c r="G10" s="510">
        <f>+'[4]2001Tab7'!F11</f>
        <v>329</v>
      </c>
      <c r="H10" s="510">
        <f>+'[4]2001Tab7'!G11</f>
        <v>319</v>
      </c>
      <c r="I10" s="510">
        <f>+'[4]2001Tab7'!H11</f>
        <v>334</v>
      </c>
      <c r="J10" s="510">
        <f>+'[4]2001Tab7'!I11</f>
        <v>332</v>
      </c>
      <c r="K10" s="510">
        <f>+'[4]2001Tab7'!J11</f>
        <v>360</v>
      </c>
      <c r="L10" s="510">
        <f>+'[4]2001Tab7'!K11</f>
        <v>331</v>
      </c>
      <c r="M10" s="774">
        <f>+'[4]2001Tab7'!L11</f>
        <v>372</v>
      </c>
      <c r="N10" s="771">
        <f>+'[4]2001Tab7'!M11</f>
        <v>309</v>
      </c>
      <c r="O10" s="510">
        <f>+'[4]2001Tab7'!N11</f>
        <v>246</v>
      </c>
      <c r="P10" s="510">
        <f>+'[4]2001Tab7'!O11</f>
        <v>267</v>
      </c>
      <c r="Q10" s="510">
        <f>+'[4]2001Tab7'!P11</f>
        <v>224</v>
      </c>
      <c r="R10" s="510">
        <f>+'[4]2001Tab7'!Q11</f>
        <v>0</v>
      </c>
      <c r="S10" s="510">
        <f>+'[4]2001Tab7'!R11</f>
        <v>0</v>
      </c>
      <c r="T10" s="510">
        <f>+'[4]2001Tab7'!S11</f>
        <v>17</v>
      </c>
      <c r="U10" s="783">
        <f t="shared" si="0"/>
        <v>4152</v>
      </c>
      <c r="V10" s="793"/>
      <c r="W10" s="790">
        <f>'[11]EOY comparison included'!E4</f>
        <v>4253</v>
      </c>
      <c r="X10" s="458">
        <f t="shared" si="1"/>
        <v>-101</v>
      </c>
      <c r="Y10" s="222">
        <f aca="true" t="shared" si="2" ref="Y10:Y73">IF(X10&gt;0,X10,0)</f>
        <v>0</v>
      </c>
      <c r="Z10" s="222">
        <f aca="true" t="shared" si="3" ref="Z10:Z73">IF(X10&lt;0,X10,0)</f>
        <v>-101</v>
      </c>
    </row>
    <row r="11" spans="1:26" ht="12.75">
      <c r="A11" s="33">
        <v>3</v>
      </c>
      <c r="B11" s="221" t="s">
        <v>412</v>
      </c>
      <c r="C11" s="779">
        <f>+'[4]2001Tab7'!B12</f>
        <v>56</v>
      </c>
      <c r="D11" s="510">
        <f>+'[4]2001Tab7'!C12</f>
        <v>148</v>
      </c>
      <c r="E11" s="510">
        <f>+'[4]2001Tab7'!D12</f>
        <v>1303</v>
      </c>
      <c r="F11" s="510">
        <f>+'[4]2001Tab7'!E12</f>
        <v>1269</v>
      </c>
      <c r="G11" s="510">
        <f>+'[4]2001Tab7'!F12</f>
        <v>1180</v>
      </c>
      <c r="H11" s="510">
        <f>+'[4]2001Tab7'!G12</f>
        <v>1278</v>
      </c>
      <c r="I11" s="510">
        <f>+'[4]2001Tab7'!H12</f>
        <v>1218</v>
      </c>
      <c r="J11" s="510">
        <f>+'[4]2001Tab7'!I12</f>
        <v>1248</v>
      </c>
      <c r="K11" s="510">
        <f>+'[4]2001Tab7'!J12</f>
        <v>1136</v>
      </c>
      <c r="L11" s="510">
        <f>+'[4]2001Tab7'!K12</f>
        <v>1137</v>
      </c>
      <c r="M11" s="774">
        <f>+'[4]2001Tab7'!L12</f>
        <v>1137</v>
      </c>
      <c r="N11" s="771">
        <f>+'[4]2001Tab7'!M12</f>
        <v>1095</v>
      </c>
      <c r="O11" s="510">
        <f>+'[4]2001Tab7'!N12</f>
        <v>964</v>
      </c>
      <c r="P11" s="510">
        <f>+'[4]2001Tab7'!O12</f>
        <v>921</v>
      </c>
      <c r="Q11" s="510">
        <f>+'[4]2001Tab7'!P12</f>
        <v>866</v>
      </c>
      <c r="R11" s="510">
        <f>+'[4]2001Tab7'!Q12</f>
        <v>0</v>
      </c>
      <c r="S11" s="510">
        <f>+'[4]2001Tab7'!R12</f>
        <v>0</v>
      </c>
      <c r="T11" s="510">
        <f>+'[4]2001Tab7'!S12</f>
        <v>3</v>
      </c>
      <c r="U11" s="783">
        <f t="shared" si="0"/>
        <v>14959</v>
      </c>
      <c r="V11" s="793"/>
      <c r="W11" s="790">
        <f>'[11]EOY comparison included'!E5</f>
        <v>14842</v>
      </c>
      <c r="X11" s="458">
        <f t="shared" si="1"/>
        <v>117</v>
      </c>
      <c r="Y11" s="222">
        <f t="shared" si="2"/>
        <v>117</v>
      </c>
      <c r="Z11" s="222">
        <f t="shared" si="3"/>
        <v>0</v>
      </c>
    </row>
    <row r="12" spans="1:26" ht="12.75">
      <c r="A12" s="33">
        <v>4</v>
      </c>
      <c r="B12" s="221" t="s">
        <v>413</v>
      </c>
      <c r="C12" s="779">
        <f>+'[4]2001Tab7'!B13</f>
        <v>19</v>
      </c>
      <c r="D12" s="510">
        <f>+'[4]2001Tab7'!C13</f>
        <v>76</v>
      </c>
      <c r="E12" s="510">
        <f>+'[4]2001Tab7'!D13</f>
        <v>305</v>
      </c>
      <c r="F12" s="510">
        <f>+'[4]2001Tab7'!E13</f>
        <v>372</v>
      </c>
      <c r="G12" s="510">
        <f>+'[4]2001Tab7'!F13</f>
        <v>319</v>
      </c>
      <c r="H12" s="510">
        <f>+'[4]2001Tab7'!G13</f>
        <v>384</v>
      </c>
      <c r="I12" s="510">
        <f>+'[4]2001Tab7'!H13</f>
        <v>379</v>
      </c>
      <c r="J12" s="510">
        <f>+'[4]2001Tab7'!I13</f>
        <v>309</v>
      </c>
      <c r="K12" s="510">
        <f>+'[4]2001Tab7'!J13</f>
        <v>359</v>
      </c>
      <c r="L12" s="510">
        <f>+'[4]2001Tab7'!K13</f>
        <v>385</v>
      </c>
      <c r="M12" s="774">
        <f>+'[4]2001Tab7'!L13</f>
        <v>369</v>
      </c>
      <c r="N12" s="771">
        <f>+'[4]2001Tab7'!M13</f>
        <v>419</v>
      </c>
      <c r="O12" s="510">
        <f>+'[4]2001Tab7'!N13</f>
        <v>267</v>
      </c>
      <c r="P12" s="510">
        <f>+'[4]2001Tab7'!O13</f>
        <v>245</v>
      </c>
      <c r="Q12" s="510">
        <f>+'[4]2001Tab7'!P13</f>
        <v>203</v>
      </c>
      <c r="R12" s="510">
        <f>+'[4]2001Tab7'!Q13</f>
        <v>0</v>
      </c>
      <c r="S12" s="510">
        <f>+'[4]2001Tab7'!R13</f>
        <v>0</v>
      </c>
      <c r="T12" s="510">
        <f>+'[4]2001Tab7'!S13</f>
        <v>0</v>
      </c>
      <c r="U12" s="783">
        <f t="shared" si="0"/>
        <v>4410</v>
      </c>
      <c r="V12" s="793"/>
      <c r="W12" s="790">
        <f>'[11]EOY comparison included'!E6</f>
        <v>4409</v>
      </c>
      <c r="X12" s="458">
        <f t="shared" si="1"/>
        <v>1</v>
      </c>
      <c r="Y12" s="222">
        <f t="shared" si="2"/>
        <v>1</v>
      </c>
      <c r="Z12" s="222">
        <f t="shared" si="3"/>
        <v>0</v>
      </c>
    </row>
    <row r="13" spans="1:26" ht="12.75">
      <c r="A13" s="47">
        <v>5</v>
      </c>
      <c r="B13" s="220" t="s">
        <v>414</v>
      </c>
      <c r="C13" s="780">
        <f>+'[4]2001Tab7'!B14</f>
        <v>36</v>
      </c>
      <c r="D13" s="511">
        <f>+'[4]2001Tab7'!C14</f>
        <v>48</v>
      </c>
      <c r="E13" s="511">
        <f>+'[4]2001Tab7'!D14</f>
        <v>515</v>
      </c>
      <c r="F13" s="511">
        <f>+'[4]2001Tab7'!E14</f>
        <v>534</v>
      </c>
      <c r="G13" s="511">
        <f>+'[4]2001Tab7'!F14</f>
        <v>457</v>
      </c>
      <c r="H13" s="511">
        <f>+'[4]2001Tab7'!G14</f>
        <v>472</v>
      </c>
      <c r="I13" s="511">
        <f>+'[4]2001Tab7'!H14</f>
        <v>475</v>
      </c>
      <c r="J13" s="511">
        <f>+'[4]2001Tab7'!I14</f>
        <v>533</v>
      </c>
      <c r="K13" s="511">
        <f>+'[4]2001Tab7'!J14</f>
        <v>473</v>
      </c>
      <c r="L13" s="511">
        <f>+'[4]2001Tab7'!K14</f>
        <v>482</v>
      </c>
      <c r="M13" s="775">
        <f>+'[4]2001Tab7'!L14</f>
        <v>652</v>
      </c>
      <c r="N13" s="772">
        <f>+'[4]2001Tab7'!M14</f>
        <v>532</v>
      </c>
      <c r="O13" s="511">
        <f>+'[4]2001Tab7'!N14</f>
        <v>456</v>
      </c>
      <c r="P13" s="511">
        <f>+'[4]2001Tab7'!O14</f>
        <v>414</v>
      </c>
      <c r="Q13" s="511">
        <f>+'[4]2001Tab7'!P14</f>
        <v>409</v>
      </c>
      <c r="R13" s="511">
        <f>+'[4]2001Tab7'!Q14</f>
        <v>0</v>
      </c>
      <c r="S13" s="511">
        <f>+'[4]2001Tab7'!R14</f>
        <v>0</v>
      </c>
      <c r="T13" s="511">
        <f>+'[4]2001Tab7'!S14</f>
        <v>136</v>
      </c>
      <c r="U13" s="784">
        <f t="shared" si="0"/>
        <v>6624</v>
      </c>
      <c r="V13" s="794"/>
      <c r="W13" s="791">
        <f>'[11]EOY comparison included'!E7</f>
        <v>6888</v>
      </c>
      <c r="X13" s="459">
        <f t="shared" si="1"/>
        <v>-264</v>
      </c>
      <c r="Y13" s="223">
        <f t="shared" si="2"/>
        <v>0</v>
      </c>
      <c r="Z13" s="223">
        <f t="shared" si="3"/>
        <v>-264</v>
      </c>
    </row>
    <row r="14" spans="1:26" ht="12.75">
      <c r="A14" s="33">
        <v>6</v>
      </c>
      <c r="B14" s="221" t="s">
        <v>415</v>
      </c>
      <c r="C14" s="779">
        <f>+'[4]2001Tab7'!B15</f>
        <v>0</v>
      </c>
      <c r="D14" s="510">
        <f>+'[4]2001Tab7'!C15</f>
        <v>59</v>
      </c>
      <c r="E14" s="510">
        <f>+'[4]2001Tab7'!D15</f>
        <v>468</v>
      </c>
      <c r="F14" s="510">
        <f>+'[4]2001Tab7'!E15</f>
        <v>438</v>
      </c>
      <c r="G14" s="510">
        <f>+'[4]2001Tab7'!F15</f>
        <v>454</v>
      </c>
      <c r="H14" s="510">
        <f>+'[4]2001Tab7'!G15</f>
        <v>492</v>
      </c>
      <c r="I14" s="510">
        <f>+'[4]2001Tab7'!H15</f>
        <v>480</v>
      </c>
      <c r="J14" s="510">
        <f>+'[4]2001Tab7'!I15</f>
        <v>478</v>
      </c>
      <c r="K14" s="510">
        <f>+'[4]2001Tab7'!J15</f>
        <v>504</v>
      </c>
      <c r="L14" s="510">
        <f>+'[4]2001Tab7'!K15</f>
        <v>475</v>
      </c>
      <c r="M14" s="774">
        <f>+'[4]2001Tab7'!L15</f>
        <v>468</v>
      </c>
      <c r="N14" s="771">
        <f>+'[4]2001Tab7'!M15</f>
        <v>477</v>
      </c>
      <c r="O14" s="510">
        <f>+'[4]2001Tab7'!N15</f>
        <v>445</v>
      </c>
      <c r="P14" s="510">
        <f>+'[4]2001Tab7'!O15</f>
        <v>378</v>
      </c>
      <c r="Q14" s="510">
        <f>+'[4]2001Tab7'!P15</f>
        <v>393</v>
      </c>
      <c r="R14" s="510">
        <f>+'[4]2001Tab7'!Q15</f>
        <v>0</v>
      </c>
      <c r="S14" s="510">
        <f>+'[4]2001Tab7'!R15</f>
        <v>0</v>
      </c>
      <c r="T14" s="510">
        <f>+'[4]2001Tab7'!S15</f>
        <v>0</v>
      </c>
      <c r="U14" s="783">
        <f t="shared" si="0"/>
        <v>6009</v>
      </c>
      <c r="V14" s="793"/>
      <c r="W14" s="790">
        <f>'[11]EOY comparison included'!E8</f>
        <v>6049</v>
      </c>
      <c r="X14" s="458">
        <f t="shared" si="1"/>
        <v>-40</v>
      </c>
      <c r="Y14" s="222">
        <f t="shared" si="2"/>
        <v>0</v>
      </c>
      <c r="Z14" s="222">
        <f t="shared" si="3"/>
        <v>-40</v>
      </c>
    </row>
    <row r="15" spans="1:26" ht="12.75">
      <c r="A15" s="33">
        <v>7</v>
      </c>
      <c r="B15" s="221" t="s">
        <v>416</v>
      </c>
      <c r="C15" s="779">
        <f>+'[4]2001Tab7'!B16</f>
        <v>0</v>
      </c>
      <c r="D15" s="510">
        <f>+'[4]2001Tab7'!C16</f>
        <v>17</v>
      </c>
      <c r="E15" s="510">
        <f>+'[4]2001Tab7'!D16</f>
        <v>184</v>
      </c>
      <c r="F15" s="510">
        <f>+'[4]2001Tab7'!E16</f>
        <v>183</v>
      </c>
      <c r="G15" s="510">
        <f>+'[4]2001Tab7'!F16</f>
        <v>182</v>
      </c>
      <c r="H15" s="510">
        <f>+'[4]2001Tab7'!G16</f>
        <v>216</v>
      </c>
      <c r="I15" s="510">
        <f>+'[4]2001Tab7'!H16</f>
        <v>214</v>
      </c>
      <c r="J15" s="510">
        <f>+'[4]2001Tab7'!I16</f>
        <v>186</v>
      </c>
      <c r="K15" s="510">
        <f>+'[4]2001Tab7'!J16</f>
        <v>196</v>
      </c>
      <c r="L15" s="510">
        <f>+'[4]2001Tab7'!K16</f>
        <v>181</v>
      </c>
      <c r="M15" s="774">
        <f>+'[4]2001Tab7'!L16</f>
        <v>236</v>
      </c>
      <c r="N15" s="771">
        <f>+'[4]2001Tab7'!M16</f>
        <v>180</v>
      </c>
      <c r="O15" s="510">
        <f>+'[4]2001Tab7'!N16</f>
        <v>193</v>
      </c>
      <c r="P15" s="510">
        <f>+'[4]2001Tab7'!O16</f>
        <v>174</v>
      </c>
      <c r="Q15" s="510">
        <f>+'[4]2001Tab7'!P16</f>
        <v>150</v>
      </c>
      <c r="R15" s="510">
        <f>+'[4]2001Tab7'!Q16</f>
        <v>0</v>
      </c>
      <c r="S15" s="510">
        <f>+'[4]2001Tab7'!R16</f>
        <v>0</v>
      </c>
      <c r="T15" s="510">
        <f>+'[4]2001Tab7'!S16</f>
        <v>0</v>
      </c>
      <c r="U15" s="783">
        <f t="shared" si="0"/>
        <v>2492</v>
      </c>
      <c r="V15" s="793"/>
      <c r="W15" s="790">
        <f>'[11]EOY comparison included'!E9</f>
        <v>2526</v>
      </c>
      <c r="X15" s="458">
        <f t="shared" si="1"/>
        <v>-34</v>
      </c>
      <c r="Y15" s="222">
        <f t="shared" si="2"/>
        <v>0</v>
      </c>
      <c r="Z15" s="222">
        <f t="shared" si="3"/>
        <v>-34</v>
      </c>
    </row>
    <row r="16" spans="1:26" ht="12.75">
      <c r="A16" s="33">
        <v>8</v>
      </c>
      <c r="B16" s="221" t="s">
        <v>417</v>
      </c>
      <c r="C16" s="779">
        <f>+'[4]2001Tab7'!B17</f>
        <v>0</v>
      </c>
      <c r="D16" s="510">
        <f>+'[4]2001Tab7'!C17</f>
        <v>155</v>
      </c>
      <c r="E16" s="510">
        <f>+'[4]2001Tab7'!D17</f>
        <v>1510</v>
      </c>
      <c r="F16" s="510">
        <f>+'[4]2001Tab7'!E17</f>
        <v>1487</v>
      </c>
      <c r="G16" s="510">
        <f>+'[4]2001Tab7'!F17</f>
        <v>1352</v>
      </c>
      <c r="H16" s="510">
        <f>+'[4]2001Tab7'!G17</f>
        <v>1391</v>
      </c>
      <c r="I16" s="510">
        <f>+'[4]2001Tab7'!H17</f>
        <v>1555</v>
      </c>
      <c r="J16" s="510">
        <f>+'[4]2001Tab7'!I17</f>
        <v>1488</v>
      </c>
      <c r="K16" s="510">
        <f>+'[4]2001Tab7'!J17</f>
        <v>1426</v>
      </c>
      <c r="L16" s="510">
        <f>+'[4]2001Tab7'!K17</f>
        <v>1436</v>
      </c>
      <c r="M16" s="774">
        <f>+'[4]2001Tab7'!L17</f>
        <v>1643</v>
      </c>
      <c r="N16" s="771">
        <f>+'[4]2001Tab7'!M17</f>
        <v>1455</v>
      </c>
      <c r="O16" s="510">
        <f>+'[4]2001Tab7'!N17</f>
        <v>1322</v>
      </c>
      <c r="P16" s="510">
        <f>+'[4]2001Tab7'!O17</f>
        <v>1170</v>
      </c>
      <c r="Q16" s="510">
        <f>+'[4]2001Tab7'!P17</f>
        <v>1107</v>
      </c>
      <c r="R16" s="510">
        <f>+'[4]2001Tab7'!Q17</f>
        <v>0</v>
      </c>
      <c r="S16" s="510">
        <f>+'[4]2001Tab7'!R17</f>
        <v>0</v>
      </c>
      <c r="T16" s="510">
        <f>+'[4]2001Tab7'!S17</f>
        <v>0</v>
      </c>
      <c r="U16" s="783">
        <f t="shared" si="0"/>
        <v>18497</v>
      </c>
      <c r="V16" s="793"/>
      <c r="W16" s="790">
        <f>'[11]EOY comparison included'!E10</f>
        <v>18675</v>
      </c>
      <c r="X16" s="458">
        <f t="shared" si="1"/>
        <v>-178</v>
      </c>
      <c r="Y16" s="222">
        <f t="shared" si="2"/>
        <v>0</v>
      </c>
      <c r="Z16" s="222">
        <f t="shared" si="3"/>
        <v>-178</v>
      </c>
    </row>
    <row r="17" spans="1:26" ht="12.75">
      <c r="A17" s="33">
        <v>9</v>
      </c>
      <c r="B17" s="221" t="s">
        <v>418</v>
      </c>
      <c r="C17" s="779">
        <f>+'[4]2001Tab7'!B18</f>
        <v>6</v>
      </c>
      <c r="D17" s="510">
        <f>+'[4]2001Tab7'!C18</f>
        <v>356</v>
      </c>
      <c r="E17" s="510">
        <f>+'[4]2001Tab7'!D18</f>
        <v>3284</v>
      </c>
      <c r="F17" s="510">
        <f>+'[4]2001Tab7'!E18</f>
        <v>3360</v>
      </c>
      <c r="G17" s="510">
        <f>+'[4]2001Tab7'!F18</f>
        <v>3253</v>
      </c>
      <c r="H17" s="510">
        <f>+'[4]2001Tab7'!G18</f>
        <v>3417</v>
      </c>
      <c r="I17" s="510">
        <f>+'[4]2001Tab7'!H18</f>
        <v>4072</v>
      </c>
      <c r="J17" s="510">
        <f>+'[4]2001Tab7'!I18</f>
        <v>3567</v>
      </c>
      <c r="K17" s="510">
        <f>+'[4]2001Tab7'!J18</f>
        <v>3191</v>
      </c>
      <c r="L17" s="510">
        <f>+'[4]2001Tab7'!K18</f>
        <v>3517</v>
      </c>
      <c r="M17" s="774">
        <f>+'[4]2001Tab7'!L18</f>
        <v>4041</v>
      </c>
      <c r="N17" s="771">
        <f>+'[4]2001Tab7'!M18</f>
        <v>3457</v>
      </c>
      <c r="O17" s="510">
        <f>+'[4]2001Tab7'!N18</f>
        <v>3143</v>
      </c>
      <c r="P17" s="510">
        <f>+'[4]2001Tab7'!O18</f>
        <v>2876</v>
      </c>
      <c r="Q17" s="510">
        <f>+'[4]2001Tab7'!P18</f>
        <v>2413</v>
      </c>
      <c r="R17" s="510">
        <f>+'[4]2001Tab7'!Q18</f>
        <v>0</v>
      </c>
      <c r="S17" s="510">
        <f>+'[4]2001Tab7'!R18</f>
        <v>0</v>
      </c>
      <c r="T17" s="510">
        <f>+'[4]2001Tab7'!S18</f>
        <v>0</v>
      </c>
      <c r="U17" s="783">
        <f t="shared" si="0"/>
        <v>43953</v>
      </c>
      <c r="V17" s="793"/>
      <c r="W17" s="790">
        <f>'[11]EOY comparison included'!E11</f>
        <v>43966</v>
      </c>
      <c r="X17" s="458">
        <f t="shared" si="1"/>
        <v>-13</v>
      </c>
      <c r="Y17" s="222">
        <f t="shared" si="2"/>
        <v>0</v>
      </c>
      <c r="Z17" s="222">
        <f t="shared" si="3"/>
        <v>-13</v>
      </c>
    </row>
    <row r="18" spans="1:26" ht="12.75">
      <c r="A18" s="47">
        <v>10</v>
      </c>
      <c r="B18" s="220" t="s">
        <v>419</v>
      </c>
      <c r="C18" s="780">
        <f>+'[4]2001Tab7'!B19</f>
        <v>0</v>
      </c>
      <c r="D18" s="511">
        <f>+'[4]2001Tab7'!C19</f>
        <v>299</v>
      </c>
      <c r="E18" s="511">
        <f>+'[4]2001Tab7'!D19</f>
        <v>2426</v>
      </c>
      <c r="F18" s="511">
        <f>+'[4]2001Tab7'!E19</f>
        <v>2613</v>
      </c>
      <c r="G18" s="511">
        <f>+'[4]2001Tab7'!F19</f>
        <v>2551</v>
      </c>
      <c r="H18" s="511">
        <f>+'[4]2001Tab7'!G19</f>
        <v>2460</v>
      </c>
      <c r="I18" s="511">
        <f>+'[4]2001Tab7'!H19</f>
        <v>2480</v>
      </c>
      <c r="J18" s="511">
        <f>+'[4]2001Tab7'!I19</f>
        <v>2339</v>
      </c>
      <c r="K18" s="511">
        <f>+'[4]2001Tab7'!J19</f>
        <v>2485</v>
      </c>
      <c r="L18" s="511">
        <f>+'[4]2001Tab7'!K19</f>
        <v>2391</v>
      </c>
      <c r="M18" s="775">
        <f>+'[4]2001Tab7'!L19</f>
        <v>2487</v>
      </c>
      <c r="N18" s="772">
        <f>+'[4]2001Tab7'!M19</f>
        <v>2526</v>
      </c>
      <c r="O18" s="511">
        <f>+'[4]2001Tab7'!N19</f>
        <v>2221</v>
      </c>
      <c r="P18" s="511">
        <f>+'[4]2001Tab7'!O19</f>
        <v>2065</v>
      </c>
      <c r="Q18" s="511">
        <f>+'[4]2001Tab7'!P19</f>
        <v>1934</v>
      </c>
      <c r="R18" s="511">
        <f>+'[4]2001Tab7'!Q19</f>
        <v>0</v>
      </c>
      <c r="S18" s="511">
        <f>+'[4]2001Tab7'!R19</f>
        <v>0</v>
      </c>
      <c r="T18" s="511">
        <f>+'[4]2001Tab7'!S19</f>
        <v>163</v>
      </c>
      <c r="U18" s="784">
        <f t="shared" si="0"/>
        <v>31440</v>
      </c>
      <c r="V18" s="794"/>
      <c r="W18" s="791">
        <f>'[11]EOY comparison included'!E12</f>
        <v>32102</v>
      </c>
      <c r="X18" s="459">
        <f t="shared" si="1"/>
        <v>-662</v>
      </c>
      <c r="Y18" s="223">
        <f t="shared" si="2"/>
        <v>0</v>
      </c>
      <c r="Z18" s="223">
        <f t="shared" si="3"/>
        <v>-662</v>
      </c>
    </row>
    <row r="19" spans="1:26" ht="12.75">
      <c r="A19" s="33">
        <v>11</v>
      </c>
      <c r="B19" s="221" t="s">
        <v>420</v>
      </c>
      <c r="C19" s="779">
        <f>+'[4]2001Tab7'!B20</f>
        <v>0</v>
      </c>
      <c r="D19" s="510">
        <f>+'[4]2001Tab7'!C20</f>
        <v>32</v>
      </c>
      <c r="E19" s="510">
        <f>+'[4]2001Tab7'!D20</f>
        <v>141</v>
      </c>
      <c r="F19" s="510">
        <f>+'[4]2001Tab7'!E20</f>
        <v>138</v>
      </c>
      <c r="G19" s="510">
        <f>+'[4]2001Tab7'!F20</f>
        <v>131</v>
      </c>
      <c r="H19" s="510">
        <f>+'[4]2001Tab7'!G20</f>
        <v>152</v>
      </c>
      <c r="I19" s="510">
        <f>+'[4]2001Tab7'!H20</f>
        <v>159</v>
      </c>
      <c r="J19" s="510">
        <f>+'[4]2001Tab7'!I20</f>
        <v>156</v>
      </c>
      <c r="K19" s="510">
        <f>+'[4]2001Tab7'!J20</f>
        <v>127</v>
      </c>
      <c r="L19" s="510">
        <f>+'[4]2001Tab7'!K20</f>
        <v>159</v>
      </c>
      <c r="M19" s="774">
        <f>+'[4]2001Tab7'!L20</f>
        <v>145</v>
      </c>
      <c r="N19" s="771">
        <f>+'[4]2001Tab7'!M20</f>
        <v>154</v>
      </c>
      <c r="O19" s="510">
        <f>+'[4]2001Tab7'!N20</f>
        <v>130</v>
      </c>
      <c r="P19" s="510">
        <f>+'[4]2001Tab7'!O20</f>
        <v>116</v>
      </c>
      <c r="Q19" s="510">
        <f>+'[4]2001Tab7'!P20</f>
        <v>78</v>
      </c>
      <c r="R19" s="510">
        <f>+'[4]2001Tab7'!Q20</f>
        <v>0</v>
      </c>
      <c r="S19" s="510">
        <f>+'[4]2001Tab7'!R20</f>
        <v>0</v>
      </c>
      <c r="T19" s="510">
        <f>+'[4]2001Tab7'!S20</f>
        <v>10</v>
      </c>
      <c r="U19" s="783">
        <f t="shared" si="0"/>
        <v>1828</v>
      </c>
      <c r="V19" s="793"/>
      <c r="W19" s="790">
        <f>'[11]EOY comparison included'!E13</f>
        <v>1802</v>
      </c>
      <c r="X19" s="458">
        <f t="shared" si="1"/>
        <v>26</v>
      </c>
      <c r="Y19" s="222">
        <f t="shared" si="2"/>
        <v>26</v>
      </c>
      <c r="Z19" s="222">
        <f t="shared" si="3"/>
        <v>0</v>
      </c>
    </row>
    <row r="20" spans="1:26" ht="12.75">
      <c r="A20" s="33">
        <v>12</v>
      </c>
      <c r="B20" s="221" t="s">
        <v>421</v>
      </c>
      <c r="C20" s="779">
        <f>+'[4]2001Tab7'!B21</f>
        <v>0</v>
      </c>
      <c r="D20" s="510">
        <f>+'[4]2001Tab7'!C21</f>
        <v>26</v>
      </c>
      <c r="E20" s="510">
        <f>+'[4]2001Tab7'!D21</f>
        <v>128</v>
      </c>
      <c r="F20" s="510">
        <f>+'[4]2001Tab7'!E21</f>
        <v>152</v>
      </c>
      <c r="G20" s="510">
        <f>+'[4]2001Tab7'!F21</f>
        <v>143</v>
      </c>
      <c r="H20" s="510">
        <f>+'[4]2001Tab7'!G21</f>
        <v>136</v>
      </c>
      <c r="I20" s="510">
        <f>+'[4]2001Tab7'!H21</f>
        <v>146</v>
      </c>
      <c r="J20" s="510">
        <f>+'[4]2001Tab7'!I21</f>
        <v>143</v>
      </c>
      <c r="K20" s="510">
        <f>+'[4]2001Tab7'!J21</f>
        <v>170</v>
      </c>
      <c r="L20" s="510">
        <f>+'[4]2001Tab7'!K21</f>
        <v>169</v>
      </c>
      <c r="M20" s="774">
        <f>+'[4]2001Tab7'!L21</f>
        <v>156</v>
      </c>
      <c r="N20" s="771">
        <f>+'[4]2001Tab7'!M21</f>
        <v>135</v>
      </c>
      <c r="O20" s="510">
        <f>+'[4]2001Tab7'!N21</f>
        <v>141</v>
      </c>
      <c r="P20" s="510">
        <f>+'[4]2001Tab7'!O21</f>
        <v>134</v>
      </c>
      <c r="Q20" s="510">
        <f>+'[4]2001Tab7'!P21</f>
        <v>104</v>
      </c>
      <c r="R20" s="510">
        <f>+'[4]2001Tab7'!Q21</f>
        <v>0</v>
      </c>
      <c r="S20" s="510">
        <f>+'[4]2001Tab7'!R21</f>
        <v>0</v>
      </c>
      <c r="T20" s="510">
        <f>+'[4]2001Tab7'!S21</f>
        <v>2</v>
      </c>
      <c r="U20" s="783">
        <f t="shared" si="0"/>
        <v>1885</v>
      </c>
      <c r="V20" s="793"/>
      <c r="W20" s="790">
        <f>'[11]EOY comparison included'!E14</f>
        <v>1953</v>
      </c>
      <c r="X20" s="458">
        <f t="shared" si="1"/>
        <v>-68</v>
      </c>
      <c r="Y20" s="222">
        <f t="shared" si="2"/>
        <v>0</v>
      </c>
      <c r="Z20" s="222">
        <f t="shared" si="3"/>
        <v>-68</v>
      </c>
    </row>
    <row r="21" spans="1:26" ht="12.75">
      <c r="A21" s="33">
        <v>13</v>
      </c>
      <c r="B21" s="221" t="s">
        <v>422</v>
      </c>
      <c r="C21" s="779">
        <f>+'[4]2001Tab7'!B22</f>
        <v>2</v>
      </c>
      <c r="D21" s="510">
        <f>+'[4]2001Tab7'!C22</f>
        <v>8</v>
      </c>
      <c r="E21" s="510">
        <f>+'[4]2001Tab7'!D22</f>
        <v>126</v>
      </c>
      <c r="F21" s="510">
        <f>+'[4]2001Tab7'!E22</f>
        <v>145</v>
      </c>
      <c r="G21" s="510">
        <f>+'[4]2001Tab7'!F22</f>
        <v>168</v>
      </c>
      <c r="H21" s="510">
        <f>+'[4]2001Tab7'!G22</f>
        <v>149</v>
      </c>
      <c r="I21" s="510">
        <f>+'[4]2001Tab7'!H22</f>
        <v>162</v>
      </c>
      <c r="J21" s="510">
        <f>+'[4]2001Tab7'!I22</f>
        <v>162</v>
      </c>
      <c r="K21" s="510">
        <f>+'[4]2001Tab7'!J22</f>
        <v>130</v>
      </c>
      <c r="L21" s="510">
        <f>+'[4]2001Tab7'!K22</f>
        <v>128</v>
      </c>
      <c r="M21" s="774">
        <f>+'[4]2001Tab7'!L22</f>
        <v>122</v>
      </c>
      <c r="N21" s="771">
        <f>+'[4]2001Tab7'!M22</f>
        <v>141</v>
      </c>
      <c r="O21" s="510">
        <f>+'[4]2001Tab7'!N22</f>
        <v>133</v>
      </c>
      <c r="P21" s="510">
        <f>+'[4]2001Tab7'!O22</f>
        <v>106</v>
      </c>
      <c r="Q21" s="510">
        <f>+'[4]2001Tab7'!P22</f>
        <v>104</v>
      </c>
      <c r="R21" s="510">
        <f>+'[4]2001Tab7'!Q22</f>
        <v>0</v>
      </c>
      <c r="S21" s="510">
        <f>+'[4]2001Tab7'!R22</f>
        <v>0</v>
      </c>
      <c r="T21" s="510">
        <f>+'[4]2001Tab7'!S22</f>
        <v>27</v>
      </c>
      <c r="U21" s="783">
        <f t="shared" si="0"/>
        <v>1813</v>
      </c>
      <c r="V21" s="793"/>
      <c r="W21" s="790">
        <f>'[11]EOY comparison included'!E15</f>
        <v>1886</v>
      </c>
      <c r="X21" s="458">
        <f t="shared" si="1"/>
        <v>-73</v>
      </c>
      <c r="Y21" s="222">
        <f t="shared" si="2"/>
        <v>0</v>
      </c>
      <c r="Z21" s="222">
        <f t="shared" si="3"/>
        <v>-73</v>
      </c>
    </row>
    <row r="22" spans="1:26" ht="12.75">
      <c r="A22" s="33">
        <v>14</v>
      </c>
      <c r="B22" s="221" t="s">
        <v>423</v>
      </c>
      <c r="C22" s="779">
        <f>+'[4]2001Tab7'!B23</f>
        <v>8</v>
      </c>
      <c r="D22" s="510">
        <f>+'[4]2001Tab7'!C23</f>
        <v>33</v>
      </c>
      <c r="E22" s="510">
        <f>+'[4]2001Tab7'!D23</f>
        <v>202</v>
      </c>
      <c r="F22" s="510">
        <f>+'[4]2001Tab7'!E23</f>
        <v>192</v>
      </c>
      <c r="G22" s="510">
        <f>+'[4]2001Tab7'!F23</f>
        <v>211</v>
      </c>
      <c r="H22" s="510">
        <f>+'[4]2001Tab7'!G23</f>
        <v>237</v>
      </c>
      <c r="I22" s="510">
        <f>+'[4]2001Tab7'!H23</f>
        <v>234</v>
      </c>
      <c r="J22" s="510">
        <f>+'[4]2001Tab7'!I23</f>
        <v>240</v>
      </c>
      <c r="K22" s="510">
        <f>+'[4]2001Tab7'!J23</f>
        <v>215</v>
      </c>
      <c r="L22" s="510">
        <f>+'[4]2001Tab7'!K23</f>
        <v>223</v>
      </c>
      <c r="M22" s="774">
        <f>+'[4]2001Tab7'!L23</f>
        <v>218</v>
      </c>
      <c r="N22" s="771">
        <f>+'[4]2001Tab7'!M23</f>
        <v>232</v>
      </c>
      <c r="O22" s="510">
        <f>+'[4]2001Tab7'!N23</f>
        <v>166</v>
      </c>
      <c r="P22" s="510">
        <f>+'[4]2001Tab7'!O23</f>
        <v>138</v>
      </c>
      <c r="Q22" s="510">
        <f>+'[4]2001Tab7'!P23</f>
        <v>155</v>
      </c>
      <c r="R22" s="510">
        <f>+'[4]2001Tab7'!Q23</f>
        <v>0</v>
      </c>
      <c r="S22" s="510">
        <f>+'[4]2001Tab7'!R23</f>
        <v>0</v>
      </c>
      <c r="T22" s="510">
        <f>+'[4]2001Tab7'!S23</f>
        <v>8</v>
      </c>
      <c r="U22" s="783">
        <f t="shared" si="0"/>
        <v>2712</v>
      </c>
      <c r="V22" s="793"/>
      <c r="W22" s="790">
        <f>'[11]EOY comparison included'!E16</f>
        <v>2766</v>
      </c>
      <c r="X22" s="458">
        <f t="shared" si="1"/>
        <v>-54</v>
      </c>
      <c r="Y22" s="222">
        <f t="shared" si="2"/>
        <v>0</v>
      </c>
      <c r="Z22" s="222">
        <f t="shared" si="3"/>
        <v>-54</v>
      </c>
    </row>
    <row r="23" spans="1:26" ht="12.75">
      <c r="A23" s="47">
        <v>15</v>
      </c>
      <c r="B23" s="220" t="s">
        <v>424</v>
      </c>
      <c r="C23" s="780">
        <f>+'[4]2001Tab7'!B24</f>
        <v>22</v>
      </c>
      <c r="D23" s="511">
        <f>+'[4]2001Tab7'!C24</f>
        <v>34</v>
      </c>
      <c r="E23" s="511">
        <f>+'[4]2001Tab7'!D24</f>
        <v>309</v>
      </c>
      <c r="F23" s="511">
        <f>+'[4]2001Tab7'!E24</f>
        <v>333</v>
      </c>
      <c r="G23" s="511">
        <f>+'[4]2001Tab7'!F24</f>
        <v>311</v>
      </c>
      <c r="H23" s="511">
        <f>+'[4]2001Tab7'!G24</f>
        <v>315</v>
      </c>
      <c r="I23" s="511">
        <f>+'[4]2001Tab7'!H24</f>
        <v>316</v>
      </c>
      <c r="J23" s="511">
        <f>+'[4]2001Tab7'!I24</f>
        <v>285</v>
      </c>
      <c r="K23" s="511">
        <f>+'[4]2001Tab7'!J24</f>
        <v>300</v>
      </c>
      <c r="L23" s="511">
        <f>+'[4]2001Tab7'!K24</f>
        <v>351</v>
      </c>
      <c r="M23" s="775">
        <f>+'[4]2001Tab7'!L24</f>
        <v>285</v>
      </c>
      <c r="N23" s="772">
        <f>+'[4]2001Tab7'!M24</f>
        <v>246</v>
      </c>
      <c r="O23" s="511">
        <f>+'[4]2001Tab7'!N24</f>
        <v>203</v>
      </c>
      <c r="P23" s="511">
        <f>+'[4]2001Tab7'!O24</f>
        <v>235</v>
      </c>
      <c r="Q23" s="511">
        <f>+'[4]2001Tab7'!P24</f>
        <v>217</v>
      </c>
      <c r="R23" s="511">
        <f>+'[4]2001Tab7'!Q24</f>
        <v>0</v>
      </c>
      <c r="S23" s="511">
        <f>+'[4]2001Tab7'!R24</f>
        <v>0</v>
      </c>
      <c r="T23" s="511">
        <f>+'[4]2001Tab7'!S24</f>
        <v>7</v>
      </c>
      <c r="U23" s="784">
        <f t="shared" si="0"/>
        <v>3769</v>
      </c>
      <c r="V23" s="794"/>
      <c r="W23" s="791">
        <f>'[11]EOY comparison included'!E17</f>
        <v>3818</v>
      </c>
      <c r="X23" s="459">
        <f t="shared" si="1"/>
        <v>-49</v>
      </c>
      <c r="Y23" s="223">
        <f t="shared" si="2"/>
        <v>0</v>
      </c>
      <c r="Z23" s="223">
        <f t="shared" si="3"/>
        <v>-49</v>
      </c>
    </row>
    <row r="24" spans="1:26" ht="12.75">
      <c r="A24" s="33">
        <v>16</v>
      </c>
      <c r="B24" s="221" t="s">
        <v>425</v>
      </c>
      <c r="C24" s="779">
        <f>+'[4]2001Tab7'!B25</f>
        <v>0</v>
      </c>
      <c r="D24" s="510">
        <f>+'[4]2001Tab7'!C25</f>
        <v>49</v>
      </c>
      <c r="E24" s="510">
        <f>+'[4]2001Tab7'!D25</f>
        <v>329</v>
      </c>
      <c r="F24" s="510">
        <f>+'[4]2001Tab7'!E25</f>
        <v>371</v>
      </c>
      <c r="G24" s="510">
        <f>+'[4]2001Tab7'!F25</f>
        <v>386</v>
      </c>
      <c r="H24" s="510">
        <f>+'[4]2001Tab7'!G25</f>
        <v>401</v>
      </c>
      <c r="I24" s="510">
        <f>+'[4]2001Tab7'!H25</f>
        <v>420</v>
      </c>
      <c r="J24" s="510">
        <f>+'[4]2001Tab7'!I25</f>
        <v>349</v>
      </c>
      <c r="K24" s="510">
        <f>+'[4]2001Tab7'!J25</f>
        <v>395</v>
      </c>
      <c r="L24" s="510">
        <f>+'[4]2001Tab7'!K25</f>
        <v>426</v>
      </c>
      <c r="M24" s="774">
        <f>+'[4]2001Tab7'!L25</f>
        <v>401</v>
      </c>
      <c r="N24" s="771">
        <f>+'[4]2001Tab7'!M25</f>
        <v>367</v>
      </c>
      <c r="O24" s="510">
        <f>+'[4]2001Tab7'!N25</f>
        <v>308</v>
      </c>
      <c r="P24" s="510">
        <f>+'[4]2001Tab7'!O25</f>
        <v>273</v>
      </c>
      <c r="Q24" s="510">
        <f>+'[4]2001Tab7'!P25</f>
        <v>252</v>
      </c>
      <c r="R24" s="510">
        <f>+'[4]2001Tab7'!Q25</f>
        <v>0</v>
      </c>
      <c r="S24" s="510">
        <f>+'[4]2001Tab7'!R25</f>
        <v>0</v>
      </c>
      <c r="T24" s="510">
        <f>+'[4]2001Tab7'!S25</f>
        <v>83</v>
      </c>
      <c r="U24" s="783">
        <f t="shared" si="0"/>
        <v>4810</v>
      </c>
      <c r="V24" s="793"/>
      <c r="W24" s="790">
        <f>'[11]EOY comparison included'!E18</f>
        <v>4996</v>
      </c>
      <c r="X24" s="458">
        <f t="shared" si="1"/>
        <v>-186</v>
      </c>
      <c r="Y24" s="222">
        <f t="shared" si="2"/>
        <v>0</v>
      </c>
      <c r="Z24" s="222">
        <f t="shared" si="3"/>
        <v>-186</v>
      </c>
    </row>
    <row r="25" spans="1:26" ht="12.75">
      <c r="A25" s="33">
        <v>17</v>
      </c>
      <c r="B25" s="221" t="s">
        <v>426</v>
      </c>
      <c r="C25" s="779">
        <f>+'[4]2001Tab7'!B26</f>
        <v>16</v>
      </c>
      <c r="D25" s="510">
        <f>+'[4]2001Tab7'!C26</f>
        <v>82</v>
      </c>
      <c r="E25" s="510">
        <f>+'[4]2001Tab7'!D26</f>
        <v>3996</v>
      </c>
      <c r="F25" s="510">
        <f>+'[4]2001Tab7'!E26</f>
        <v>4148</v>
      </c>
      <c r="G25" s="510">
        <f>+'[4]2001Tab7'!F26</f>
        <v>4098</v>
      </c>
      <c r="H25" s="510">
        <f>+'[4]2001Tab7'!G26</f>
        <v>4113</v>
      </c>
      <c r="I25" s="510">
        <f>+'[4]2001Tab7'!H26</f>
        <v>4504</v>
      </c>
      <c r="J25" s="510">
        <f>+'[4]2001Tab7'!I26</f>
        <v>3834</v>
      </c>
      <c r="K25" s="510">
        <f>+'[4]2001Tab7'!J26</f>
        <v>3847</v>
      </c>
      <c r="L25" s="510">
        <f>+'[4]2001Tab7'!K26</f>
        <v>4169</v>
      </c>
      <c r="M25" s="774">
        <f>+'[4]2001Tab7'!L26</f>
        <v>4656</v>
      </c>
      <c r="N25" s="771">
        <f>+'[4]2001Tab7'!M26</f>
        <v>3670</v>
      </c>
      <c r="O25" s="510">
        <f>+'[4]2001Tab7'!N26</f>
        <v>3573</v>
      </c>
      <c r="P25" s="510">
        <f>+'[4]2001Tab7'!O26</f>
        <v>3349</v>
      </c>
      <c r="Q25" s="510">
        <f>+'[4]2001Tab7'!P26</f>
        <v>3265</v>
      </c>
      <c r="R25" s="510">
        <f>+'[4]2001Tab7'!Q26</f>
        <v>0</v>
      </c>
      <c r="S25" s="510">
        <f>+'[4]2001Tab7'!R26</f>
        <v>0</v>
      </c>
      <c r="T25" s="510">
        <f>+'[4]2001Tab7'!S26</f>
        <v>3</v>
      </c>
      <c r="U25" s="783">
        <f t="shared" si="0"/>
        <v>51323</v>
      </c>
      <c r="V25" s="793"/>
      <c r="W25" s="790">
        <f>'[11]EOY comparison included'!E19</f>
        <v>52864</v>
      </c>
      <c r="X25" s="458">
        <f t="shared" si="1"/>
        <v>-1541</v>
      </c>
      <c r="Y25" s="222">
        <f t="shared" si="2"/>
        <v>0</v>
      </c>
      <c r="Z25" s="222">
        <f t="shared" si="3"/>
        <v>-1541</v>
      </c>
    </row>
    <row r="26" spans="1:26" ht="12.75">
      <c r="A26" s="33">
        <v>18</v>
      </c>
      <c r="B26" s="221" t="s">
        <v>427</v>
      </c>
      <c r="C26" s="779">
        <f>+'[4]2001Tab7'!B27</f>
        <v>0</v>
      </c>
      <c r="D26" s="510">
        <f>+'[4]2001Tab7'!C27</f>
        <v>21</v>
      </c>
      <c r="E26" s="510">
        <f>+'[4]2001Tab7'!D27</f>
        <v>138</v>
      </c>
      <c r="F26" s="510">
        <f>+'[4]2001Tab7'!E27</f>
        <v>157</v>
      </c>
      <c r="G26" s="510">
        <f>+'[4]2001Tab7'!F27</f>
        <v>143</v>
      </c>
      <c r="H26" s="510">
        <f>+'[4]2001Tab7'!G27</f>
        <v>145</v>
      </c>
      <c r="I26" s="510">
        <f>+'[4]2001Tab7'!H27</f>
        <v>190</v>
      </c>
      <c r="J26" s="510">
        <f>+'[4]2001Tab7'!I27</f>
        <v>125</v>
      </c>
      <c r="K26" s="510">
        <f>+'[4]2001Tab7'!J27</f>
        <v>126</v>
      </c>
      <c r="L26" s="510">
        <f>+'[4]2001Tab7'!K27</f>
        <v>148</v>
      </c>
      <c r="M26" s="774">
        <f>+'[4]2001Tab7'!L27</f>
        <v>136</v>
      </c>
      <c r="N26" s="771">
        <f>+'[4]2001Tab7'!M27</f>
        <v>101</v>
      </c>
      <c r="O26" s="510">
        <f>+'[4]2001Tab7'!N27</f>
        <v>83</v>
      </c>
      <c r="P26" s="510">
        <f>+'[4]2001Tab7'!O27</f>
        <v>91</v>
      </c>
      <c r="Q26" s="510">
        <f>+'[4]2001Tab7'!P27</f>
        <v>101</v>
      </c>
      <c r="R26" s="510">
        <f>+'[4]2001Tab7'!Q27</f>
        <v>0</v>
      </c>
      <c r="S26" s="510">
        <f>+'[4]2001Tab7'!R27</f>
        <v>0</v>
      </c>
      <c r="T26" s="510">
        <f>+'[4]2001Tab7'!S27</f>
        <v>19</v>
      </c>
      <c r="U26" s="783">
        <f t="shared" si="0"/>
        <v>1724</v>
      </c>
      <c r="V26" s="793"/>
      <c r="W26" s="790">
        <f>'[11]EOY comparison included'!E20</f>
        <v>1810</v>
      </c>
      <c r="X26" s="458">
        <f t="shared" si="1"/>
        <v>-86</v>
      </c>
      <c r="Y26" s="222">
        <f t="shared" si="2"/>
        <v>0</v>
      </c>
      <c r="Z26" s="222">
        <f t="shared" si="3"/>
        <v>-86</v>
      </c>
    </row>
    <row r="27" spans="1:26" ht="12.75">
      <c r="A27" s="33">
        <v>19</v>
      </c>
      <c r="B27" s="221" t="s">
        <v>428</v>
      </c>
      <c r="C27" s="779">
        <f>+'[4]2001Tab7'!B28</f>
        <v>0</v>
      </c>
      <c r="D27" s="510">
        <f>+'[4]2001Tab7'!C28</f>
        <v>13</v>
      </c>
      <c r="E27" s="510">
        <f>+'[4]2001Tab7'!D28</f>
        <v>167</v>
      </c>
      <c r="F27" s="510">
        <f>+'[4]2001Tab7'!E28</f>
        <v>205</v>
      </c>
      <c r="G27" s="510">
        <f>+'[4]2001Tab7'!F28</f>
        <v>198</v>
      </c>
      <c r="H27" s="510">
        <f>+'[4]2001Tab7'!G28</f>
        <v>209</v>
      </c>
      <c r="I27" s="510">
        <f>+'[4]2001Tab7'!H28</f>
        <v>211</v>
      </c>
      <c r="J27" s="510">
        <f>+'[4]2001Tab7'!I28</f>
        <v>168</v>
      </c>
      <c r="K27" s="510">
        <f>+'[4]2001Tab7'!J28</f>
        <v>183</v>
      </c>
      <c r="L27" s="510">
        <f>+'[4]2001Tab7'!K28</f>
        <v>215</v>
      </c>
      <c r="M27" s="774">
        <f>+'[4]2001Tab7'!L28</f>
        <v>219</v>
      </c>
      <c r="N27" s="771">
        <f>+'[4]2001Tab7'!M28</f>
        <v>184</v>
      </c>
      <c r="O27" s="510">
        <f>+'[4]2001Tab7'!N28</f>
        <v>174</v>
      </c>
      <c r="P27" s="510">
        <f>+'[4]2001Tab7'!O28</f>
        <v>175</v>
      </c>
      <c r="Q27" s="510">
        <f>+'[4]2001Tab7'!P28</f>
        <v>153</v>
      </c>
      <c r="R27" s="510">
        <f>+'[4]2001Tab7'!Q28</f>
        <v>0</v>
      </c>
      <c r="S27" s="510">
        <f>+'[4]2001Tab7'!R28</f>
        <v>0</v>
      </c>
      <c r="T27" s="510">
        <f>+'[4]2001Tab7'!S28</f>
        <v>0</v>
      </c>
      <c r="U27" s="783">
        <f t="shared" si="0"/>
        <v>2474</v>
      </c>
      <c r="V27" s="793"/>
      <c r="W27" s="790">
        <f>'[11]EOY comparison included'!E21</f>
        <v>2530</v>
      </c>
      <c r="X27" s="458">
        <f t="shared" si="1"/>
        <v>-56</v>
      </c>
      <c r="Y27" s="222">
        <f t="shared" si="2"/>
        <v>0</v>
      </c>
      <c r="Z27" s="222">
        <f t="shared" si="3"/>
        <v>-56</v>
      </c>
    </row>
    <row r="28" spans="1:26" ht="12.75">
      <c r="A28" s="47">
        <v>20</v>
      </c>
      <c r="B28" s="220" t="s">
        <v>429</v>
      </c>
      <c r="C28" s="780">
        <f>+'[4]2001Tab7'!B29</f>
        <v>21</v>
      </c>
      <c r="D28" s="511">
        <f>+'[4]2001Tab7'!C29</f>
        <v>42</v>
      </c>
      <c r="E28" s="511">
        <f>+'[4]2001Tab7'!D29</f>
        <v>515</v>
      </c>
      <c r="F28" s="511">
        <f>+'[4]2001Tab7'!E29</f>
        <v>519</v>
      </c>
      <c r="G28" s="511">
        <f>+'[4]2001Tab7'!F29</f>
        <v>489</v>
      </c>
      <c r="H28" s="511">
        <f>+'[4]2001Tab7'!G29</f>
        <v>547</v>
      </c>
      <c r="I28" s="511">
        <f>+'[4]2001Tab7'!H29</f>
        <v>554</v>
      </c>
      <c r="J28" s="511">
        <f>+'[4]2001Tab7'!I29</f>
        <v>552</v>
      </c>
      <c r="K28" s="511">
        <f>+'[4]2001Tab7'!J29</f>
        <v>523</v>
      </c>
      <c r="L28" s="511">
        <f>+'[4]2001Tab7'!K29</f>
        <v>518</v>
      </c>
      <c r="M28" s="775">
        <f>+'[4]2001Tab7'!L29</f>
        <v>464</v>
      </c>
      <c r="N28" s="772">
        <f>+'[4]2001Tab7'!M29</f>
        <v>480</v>
      </c>
      <c r="O28" s="511">
        <f>+'[4]2001Tab7'!N29</f>
        <v>308</v>
      </c>
      <c r="P28" s="511">
        <f>+'[4]2001Tab7'!O29</f>
        <v>343</v>
      </c>
      <c r="Q28" s="511">
        <f>+'[4]2001Tab7'!P29</f>
        <v>319</v>
      </c>
      <c r="R28" s="511">
        <f>+'[4]2001Tab7'!Q29</f>
        <v>0</v>
      </c>
      <c r="S28" s="511">
        <f>+'[4]2001Tab7'!R29</f>
        <v>0</v>
      </c>
      <c r="T28" s="511">
        <f>+'[4]2001Tab7'!S29</f>
        <v>38</v>
      </c>
      <c r="U28" s="784">
        <f t="shared" si="0"/>
        <v>6232</v>
      </c>
      <c r="V28" s="794"/>
      <c r="W28" s="791">
        <f>'[11]EOY comparison included'!E22</f>
        <v>6259</v>
      </c>
      <c r="X28" s="459">
        <f t="shared" si="1"/>
        <v>-27</v>
      </c>
      <c r="Y28" s="223">
        <f t="shared" si="2"/>
        <v>0</v>
      </c>
      <c r="Z28" s="223">
        <f t="shared" si="3"/>
        <v>-27</v>
      </c>
    </row>
    <row r="29" spans="1:26" ht="12.75">
      <c r="A29" s="33">
        <v>21</v>
      </c>
      <c r="B29" s="221" t="s">
        <v>430</v>
      </c>
      <c r="C29" s="779">
        <f>+'[4]2001Tab7'!B30</f>
        <v>19</v>
      </c>
      <c r="D29" s="510">
        <f>+'[4]2001Tab7'!C30</f>
        <v>42</v>
      </c>
      <c r="E29" s="510">
        <f>+'[4]2001Tab7'!D30</f>
        <v>299</v>
      </c>
      <c r="F29" s="510">
        <f>+'[4]2001Tab7'!E30</f>
        <v>293</v>
      </c>
      <c r="G29" s="510">
        <f>+'[4]2001Tab7'!F30</f>
        <v>297</v>
      </c>
      <c r="H29" s="510">
        <f>+'[4]2001Tab7'!G30</f>
        <v>287</v>
      </c>
      <c r="I29" s="510">
        <f>+'[4]2001Tab7'!H30</f>
        <v>339</v>
      </c>
      <c r="J29" s="510">
        <f>+'[4]2001Tab7'!I30</f>
        <v>257</v>
      </c>
      <c r="K29" s="510">
        <f>+'[4]2001Tab7'!J30</f>
        <v>315</v>
      </c>
      <c r="L29" s="510">
        <f>+'[4]2001Tab7'!K30</f>
        <v>291</v>
      </c>
      <c r="M29" s="774">
        <f>+'[4]2001Tab7'!L30</f>
        <v>339</v>
      </c>
      <c r="N29" s="771">
        <f>+'[4]2001Tab7'!M30</f>
        <v>251</v>
      </c>
      <c r="O29" s="510">
        <f>+'[4]2001Tab7'!N30</f>
        <v>210</v>
      </c>
      <c r="P29" s="510">
        <f>+'[4]2001Tab7'!O30</f>
        <v>206</v>
      </c>
      <c r="Q29" s="510">
        <f>+'[4]2001Tab7'!P30</f>
        <v>213</v>
      </c>
      <c r="R29" s="510">
        <f>+'[4]2001Tab7'!Q30</f>
        <v>0</v>
      </c>
      <c r="S29" s="510">
        <f>+'[4]2001Tab7'!R30</f>
        <v>0</v>
      </c>
      <c r="T29" s="510">
        <f>+'[4]2001Tab7'!S30</f>
        <v>61</v>
      </c>
      <c r="U29" s="783">
        <f t="shared" si="0"/>
        <v>3719</v>
      </c>
      <c r="V29" s="793"/>
      <c r="W29" s="790">
        <f>'[11]EOY comparison included'!E23</f>
        <v>3823</v>
      </c>
      <c r="X29" s="458">
        <f t="shared" si="1"/>
        <v>-104</v>
      </c>
      <c r="Y29" s="222">
        <f t="shared" si="2"/>
        <v>0</v>
      </c>
      <c r="Z29" s="222">
        <f t="shared" si="3"/>
        <v>-104</v>
      </c>
    </row>
    <row r="30" spans="1:26" ht="12.75">
      <c r="A30" s="33">
        <v>22</v>
      </c>
      <c r="B30" s="221" t="s">
        <v>431</v>
      </c>
      <c r="C30" s="779">
        <f>+'[4]2001Tab7'!B31</f>
        <v>14</v>
      </c>
      <c r="D30" s="510">
        <f>+'[4]2001Tab7'!C31</f>
        <v>45</v>
      </c>
      <c r="E30" s="510">
        <f>+'[4]2001Tab7'!D31</f>
        <v>274</v>
      </c>
      <c r="F30" s="510">
        <f>+'[4]2001Tab7'!E31</f>
        <v>301</v>
      </c>
      <c r="G30" s="510">
        <f>+'[4]2001Tab7'!F31</f>
        <v>270</v>
      </c>
      <c r="H30" s="510">
        <f>+'[4]2001Tab7'!G31</f>
        <v>306</v>
      </c>
      <c r="I30" s="510">
        <f>+'[4]2001Tab7'!H31</f>
        <v>317</v>
      </c>
      <c r="J30" s="510">
        <f>+'[4]2001Tab7'!I31</f>
        <v>289</v>
      </c>
      <c r="K30" s="510">
        <f>+'[4]2001Tab7'!J31</f>
        <v>261</v>
      </c>
      <c r="L30" s="510">
        <f>+'[4]2001Tab7'!K31</f>
        <v>306</v>
      </c>
      <c r="M30" s="774">
        <f>+'[4]2001Tab7'!L31</f>
        <v>291</v>
      </c>
      <c r="N30" s="771">
        <f>+'[4]2001Tab7'!M31</f>
        <v>307</v>
      </c>
      <c r="O30" s="510">
        <f>+'[4]2001Tab7'!N31</f>
        <v>230</v>
      </c>
      <c r="P30" s="510">
        <f>+'[4]2001Tab7'!O31</f>
        <v>191</v>
      </c>
      <c r="Q30" s="510">
        <f>+'[4]2001Tab7'!P31</f>
        <v>195</v>
      </c>
      <c r="R30" s="510">
        <f>+'[4]2001Tab7'!Q31</f>
        <v>0</v>
      </c>
      <c r="S30" s="510">
        <f>+'[4]2001Tab7'!R31</f>
        <v>0</v>
      </c>
      <c r="T30" s="510">
        <f>+'[4]2001Tab7'!S31</f>
        <v>0</v>
      </c>
      <c r="U30" s="783">
        <f t="shared" si="0"/>
        <v>3597</v>
      </c>
      <c r="V30" s="793"/>
      <c r="W30" s="790">
        <f>'[11]EOY comparison included'!E24</f>
        <v>3581</v>
      </c>
      <c r="X30" s="458">
        <f t="shared" si="1"/>
        <v>16</v>
      </c>
      <c r="Y30" s="222">
        <f t="shared" si="2"/>
        <v>16</v>
      </c>
      <c r="Z30" s="222">
        <f t="shared" si="3"/>
        <v>0</v>
      </c>
    </row>
    <row r="31" spans="1:26" ht="12.75">
      <c r="A31" s="33">
        <v>23</v>
      </c>
      <c r="B31" s="221" t="s">
        <v>432</v>
      </c>
      <c r="C31" s="779">
        <f>+'[4]2001Tab7'!B32</f>
        <v>52</v>
      </c>
      <c r="D31" s="510">
        <f>+'[4]2001Tab7'!C32</f>
        <v>120</v>
      </c>
      <c r="E31" s="510">
        <f>+'[4]2001Tab7'!D32</f>
        <v>1148</v>
      </c>
      <c r="F31" s="510">
        <f>+'[4]2001Tab7'!E32</f>
        <v>1222</v>
      </c>
      <c r="G31" s="510">
        <f>+'[4]2001Tab7'!F32</f>
        <v>1050</v>
      </c>
      <c r="H31" s="510">
        <f>+'[4]2001Tab7'!G32</f>
        <v>1192</v>
      </c>
      <c r="I31" s="510">
        <f>+'[4]2001Tab7'!H32</f>
        <v>1257</v>
      </c>
      <c r="J31" s="510">
        <f>+'[4]2001Tab7'!I32</f>
        <v>1054</v>
      </c>
      <c r="K31" s="510">
        <f>+'[4]2001Tab7'!J32</f>
        <v>1035</v>
      </c>
      <c r="L31" s="510">
        <f>+'[4]2001Tab7'!K32</f>
        <v>1242</v>
      </c>
      <c r="M31" s="774">
        <f>+'[4]2001Tab7'!L32</f>
        <v>1141</v>
      </c>
      <c r="N31" s="771">
        <f>+'[4]2001Tab7'!M32</f>
        <v>1186</v>
      </c>
      <c r="O31" s="510">
        <f>+'[4]2001Tab7'!N32</f>
        <v>901</v>
      </c>
      <c r="P31" s="510">
        <f>+'[4]2001Tab7'!O32</f>
        <v>851</v>
      </c>
      <c r="Q31" s="510">
        <f>+'[4]2001Tab7'!P32</f>
        <v>716</v>
      </c>
      <c r="R31" s="510">
        <f>+'[4]2001Tab7'!Q32</f>
        <v>0</v>
      </c>
      <c r="S31" s="510">
        <f>+'[4]2001Tab7'!R32</f>
        <v>0</v>
      </c>
      <c r="T31" s="510">
        <f>+'[4]2001Tab7'!S32</f>
        <v>181</v>
      </c>
      <c r="U31" s="783">
        <f t="shared" si="0"/>
        <v>14348</v>
      </c>
      <c r="V31" s="793"/>
      <c r="W31" s="790">
        <f>'[11]EOY comparison included'!E25</f>
        <v>14497</v>
      </c>
      <c r="X31" s="458">
        <f t="shared" si="1"/>
        <v>-149</v>
      </c>
      <c r="Y31" s="222">
        <f t="shared" si="2"/>
        <v>0</v>
      </c>
      <c r="Z31" s="222">
        <f t="shared" si="3"/>
        <v>-149</v>
      </c>
    </row>
    <row r="32" spans="1:26" ht="12.75">
      <c r="A32" s="33">
        <v>24</v>
      </c>
      <c r="B32" s="221" t="s">
        <v>433</v>
      </c>
      <c r="C32" s="779">
        <f>+'[4]2001Tab7'!B33</f>
        <v>6</v>
      </c>
      <c r="D32" s="510">
        <f>+'[4]2001Tab7'!C33</f>
        <v>25</v>
      </c>
      <c r="E32" s="510">
        <f>+'[4]2001Tab7'!D33</f>
        <v>318</v>
      </c>
      <c r="F32" s="510">
        <f>+'[4]2001Tab7'!E33</f>
        <v>426</v>
      </c>
      <c r="G32" s="510">
        <f>+'[4]2001Tab7'!F33</f>
        <v>415</v>
      </c>
      <c r="H32" s="510">
        <f>+'[4]2001Tab7'!G33</f>
        <v>381</v>
      </c>
      <c r="I32" s="510">
        <f>+'[4]2001Tab7'!H33</f>
        <v>429</v>
      </c>
      <c r="J32" s="510">
        <f>+'[4]2001Tab7'!I33</f>
        <v>394</v>
      </c>
      <c r="K32" s="510">
        <f>+'[4]2001Tab7'!J33</f>
        <v>327</v>
      </c>
      <c r="L32" s="510">
        <f>+'[4]2001Tab7'!K33</f>
        <v>382</v>
      </c>
      <c r="M32" s="774">
        <f>+'[4]2001Tab7'!L33</f>
        <v>398</v>
      </c>
      <c r="N32" s="771">
        <f>+'[4]2001Tab7'!M33</f>
        <v>458</v>
      </c>
      <c r="O32" s="510">
        <f>+'[4]2001Tab7'!N33</f>
        <v>266</v>
      </c>
      <c r="P32" s="510">
        <f>+'[4]2001Tab7'!O33</f>
        <v>259</v>
      </c>
      <c r="Q32" s="510">
        <f>+'[4]2001Tab7'!P33</f>
        <v>289</v>
      </c>
      <c r="R32" s="510">
        <f>+'[4]2001Tab7'!Q33</f>
        <v>0</v>
      </c>
      <c r="S32" s="510">
        <f>+'[4]2001Tab7'!R33</f>
        <v>0</v>
      </c>
      <c r="T32" s="510">
        <f>+'[4]2001Tab7'!S33</f>
        <v>0</v>
      </c>
      <c r="U32" s="783">
        <f t="shared" si="0"/>
        <v>4773</v>
      </c>
      <c r="V32" s="793"/>
      <c r="W32" s="790">
        <f>'[11]EOY comparison included'!E26</f>
        <v>4922</v>
      </c>
      <c r="X32" s="458">
        <f t="shared" si="1"/>
        <v>-149</v>
      </c>
      <c r="Y32" s="222">
        <f t="shared" si="2"/>
        <v>0</v>
      </c>
      <c r="Z32" s="222">
        <f t="shared" si="3"/>
        <v>-149</v>
      </c>
    </row>
    <row r="33" spans="1:26" ht="12.75">
      <c r="A33" s="47">
        <v>25</v>
      </c>
      <c r="B33" s="220" t="s">
        <v>434</v>
      </c>
      <c r="C33" s="780">
        <f>+'[4]2001Tab7'!B34</f>
        <v>13</v>
      </c>
      <c r="D33" s="511">
        <f>+'[4]2001Tab7'!C34</f>
        <v>18</v>
      </c>
      <c r="E33" s="511">
        <f>+'[4]2001Tab7'!D34</f>
        <v>193</v>
      </c>
      <c r="F33" s="511">
        <f>+'[4]2001Tab7'!E34</f>
        <v>181</v>
      </c>
      <c r="G33" s="511">
        <f>+'[4]2001Tab7'!F34</f>
        <v>182</v>
      </c>
      <c r="H33" s="511">
        <f>+'[4]2001Tab7'!G34</f>
        <v>187</v>
      </c>
      <c r="I33" s="511">
        <f>+'[4]2001Tab7'!H34</f>
        <v>202</v>
      </c>
      <c r="J33" s="511">
        <f>+'[4]2001Tab7'!I34</f>
        <v>205</v>
      </c>
      <c r="K33" s="511">
        <f>+'[4]2001Tab7'!J34</f>
        <v>216</v>
      </c>
      <c r="L33" s="511">
        <f>+'[4]2001Tab7'!K34</f>
        <v>184</v>
      </c>
      <c r="M33" s="775">
        <f>+'[4]2001Tab7'!L34</f>
        <v>243</v>
      </c>
      <c r="N33" s="772">
        <f>+'[4]2001Tab7'!M34</f>
        <v>180</v>
      </c>
      <c r="O33" s="511">
        <f>+'[4]2001Tab7'!N34</f>
        <v>168</v>
      </c>
      <c r="P33" s="511">
        <f>+'[4]2001Tab7'!O34</f>
        <v>158</v>
      </c>
      <c r="Q33" s="511">
        <f>+'[4]2001Tab7'!P34</f>
        <v>176</v>
      </c>
      <c r="R33" s="511">
        <f>+'[4]2001Tab7'!Q34</f>
        <v>0</v>
      </c>
      <c r="S33" s="511">
        <f>+'[4]2001Tab7'!R34</f>
        <v>0</v>
      </c>
      <c r="T33" s="511">
        <f>+'[4]2001Tab7'!S34</f>
        <v>17</v>
      </c>
      <c r="U33" s="784">
        <f t="shared" si="0"/>
        <v>2523</v>
      </c>
      <c r="V33" s="794"/>
      <c r="W33" s="791">
        <f>'[11]EOY comparison included'!E27</f>
        <v>2555</v>
      </c>
      <c r="X33" s="459">
        <f t="shared" si="1"/>
        <v>-32</v>
      </c>
      <c r="Y33" s="223">
        <f t="shared" si="2"/>
        <v>0</v>
      </c>
      <c r="Z33" s="223">
        <f t="shared" si="3"/>
        <v>-32</v>
      </c>
    </row>
    <row r="34" spans="1:26" ht="12.75">
      <c r="A34" s="33">
        <v>26</v>
      </c>
      <c r="B34" s="221" t="s">
        <v>435</v>
      </c>
      <c r="C34" s="779">
        <f>+'[4]2001Tab7'!B35</f>
        <v>0</v>
      </c>
      <c r="D34" s="510">
        <f>+'[4]2001Tab7'!C35</f>
        <v>149</v>
      </c>
      <c r="E34" s="510">
        <f>+'[4]2001Tab7'!D35</f>
        <v>3733</v>
      </c>
      <c r="F34" s="510">
        <f>+'[4]2001Tab7'!E35</f>
        <v>4192</v>
      </c>
      <c r="G34" s="510">
        <f>+'[4]2001Tab7'!F35</f>
        <v>4163</v>
      </c>
      <c r="H34" s="510">
        <f>+'[4]2001Tab7'!G35</f>
        <v>4161</v>
      </c>
      <c r="I34" s="510">
        <f>+'[4]2001Tab7'!H35</f>
        <v>4415</v>
      </c>
      <c r="J34" s="510">
        <f>+'[4]2001Tab7'!I35</f>
        <v>4074</v>
      </c>
      <c r="K34" s="510">
        <f>+'[4]2001Tab7'!J35</f>
        <v>4101</v>
      </c>
      <c r="L34" s="510">
        <f>+'[4]2001Tab7'!K35</f>
        <v>4501</v>
      </c>
      <c r="M34" s="774">
        <f>+'[4]2001Tab7'!L35</f>
        <v>3906</v>
      </c>
      <c r="N34" s="771">
        <f>+'[4]2001Tab7'!M35</f>
        <v>4013</v>
      </c>
      <c r="O34" s="510">
        <f>+'[4]2001Tab7'!N35</f>
        <v>3433</v>
      </c>
      <c r="P34" s="510">
        <f>+'[4]2001Tab7'!O35</f>
        <v>3003</v>
      </c>
      <c r="Q34" s="510">
        <f>+'[4]2001Tab7'!P35</f>
        <v>2325</v>
      </c>
      <c r="R34" s="510">
        <f>+'[4]2001Tab7'!Q35</f>
        <v>0</v>
      </c>
      <c r="S34" s="510">
        <f>+'[4]2001Tab7'!R35</f>
        <v>0</v>
      </c>
      <c r="T34" s="510">
        <f>+'[4]2001Tab7'!S35</f>
        <v>0</v>
      </c>
      <c r="U34" s="783">
        <f t="shared" si="0"/>
        <v>50169</v>
      </c>
      <c r="V34" s="793"/>
      <c r="W34" s="790">
        <f>'[11]EOY comparison included'!E28</f>
        <v>50211</v>
      </c>
      <c r="X34" s="458">
        <f t="shared" si="1"/>
        <v>-42</v>
      </c>
      <c r="Y34" s="222">
        <f t="shared" si="2"/>
        <v>0</v>
      </c>
      <c r="Z34" s="222">
        <f t="shared" si="3"/>
        <v>-42</v>
      </c>
    </row>
    <row r="35" spans="1:26" ht="12.75">
      <c r="A35" s="33">
        <v>27</v>
      </c>
      <c r="B35" s="221" t="s">
        <v>436</v>
      </c>
      <c r="C35" s="779">
        <f>+'[4]2001Tab7'!B36</f>
        <v>18</v>
      </c>
      <c r="D35" s="510">
        <f>+'[4]2001Tab7'!C36</f>
        <v>44</v>
      </c>
      <c r="E35" s="510">
        <f>+'[4]2001Tab7'!D36</f>
        <v>478</v>
      </c>
      <c r="F35" s="510">
        <f>+'[4]2001Tab7'!E36</f>
        <v>469</v>
      </c>
      <c r="G35" s="510">
        <f>+'[4]2001Tab7'!F36</f>
        <v>444</v>
      </c>
      <c r="H35" s="510">
        <f>+'[4]2001Tab7'!G36</f>
        <v>427</v>
      </c>
      <c r="I35" s="510">
        <f>+'[4]2001Tab7'!H36</f>
        <v>452</v>
      </c>
      <c r="J35" s="510">
        <f>+'[4]2001Tab7'!I36</f>
        <v>474</v>
      </c>
      <c r="K35" s="510">
        <f>+'[4]2001Tab7'!J36</f>
        <v>430</v>
      </c>
      <c r="L35" s="510">
        <f>+'[4]2001Tab7'!K36</f>
        <v>479</v>
      </c>
      <c r="M35" s="774">
        <f>+'[4]2001Tab7'!L36</f>
        <v>448</v>
      </c>
      <c r="N35" s="771">
        <f>+'[4]2001Tab7'!M36</f>
        <v>434</v>
      </c>
      <c r="O35" s="510">
        <f>+'[4]2001Tab7'!N36</f>
        <v>387</v>
      </c>
      <c r="P35" s="510">
        <f>+'[4]2001Tab7'!O36</f>
        <v>387</v>
      </c>
      <c r="Q35" s="510">
        <f>+'[4]2001Tab7'!P36</f>
        <v>351</v>
      </c>
      <c r="R35" s="510">
        <f>+'[4]2001Tab7'!Q36</f>
        <v>0</v>
      </c>
      <c r="S35" s="510">
        <f>+'[4]2001Tab7'!R36</f>
        <v>0</v>
      </c>
      <c r="T35" s="510">
        <f>+'[4]2001Tab7'!S36</f>
        <v>18</v>
      </c>
      <c r="U35" s="783">
        <f t="shared" si="0"/>
        <v>5740</v>
      </c>
      <c r="V35" s="793"/>
      <c r="W35" s="790">
        <f>'[11]EOY comparison included'!E29</f>
        <v>5862</v>
      </c>
      <c r="X35" s="458">
        <f t="shared" si="1"/>
        <v>-122</v>
      </c>
      <c r="Y35" s="222">
        <f t="shared" si="2"/>
        <v>0</v>
      </c>
      <c r="Z35" s="222">
        <f t="shared" si="3"/>
        <v>-122</v>
      </c>
    </row>
    <row r="36" spans="1:26" ht="12.75">
      <c r="A36" s="33">
        <v>28</v>
      </c>
      <c r="B36" s="221" t="s">
        <v>437</v>
      </c>
      <c r="C36" s="779">
        <f>+'[4]2001Tab7'!B37</f>
        <v>81</v>
      </c>
      <c r="D36" s="510">
        <f>+'[4]2001Tab7'!C37</f>
        <v>118</v>
      </c>
      <c r="E36" s="510">
        <f>+'[4]2001Tab7'!D37</f>
        <v>2198</v>
      </c>
      <c r="F36" s="510">
        <f>+'[4]2001Tab7'!E37</f>
        <v>2303</v>
      </c>
      <c r="G36" s="510">
        <f>+'[4]2001Tab7'!F37</f>
        <v>2188</v>
      </c>
      <c r="H36" s="510">
        <f>+'[4]2001Tab7'!G37</f>
        <v>2186</v>
      </c>
      <c r="I36" s="510">
        <f>+'[4]2001Tab7'!H37</f>
        <v>2427</v>
      </c>
      <c r="J36" s="510">
        <f>+'[4]2001Tab7'!I37</f>
        <v>2267</v>
      </c>
      <c r="K36" s="510">
        <f>+'[4]2001Tab7'!J37</f>
        <v>2549</v>
      </c>
      <c r="L36" s="510">
        <f>+'[4]2001Tab7'!K37</f>
        <v>2395</v>
      </c>
      <c r="M36" s="774">
        <f>+'[4]2001Tab7'!L37</f>
        <v>2319</v>
      </c>
      <c r="N36" s="771">
        <f>+'[4]2001Tab7'!M37</f>
        <v>2468</v>
      </c>
      <c r="O36" s="510">
        <f>+'[4]2001Tab7'!N37</f>
        <v>2175</v>
      </c>
      <c r="P36" s="510">
        <f>+'[4]2001Tab7'!O37</f>
        <v>1834</v>
      </c>
      <c r="Q36" s="510">
        <f>+'[4]2001Tab7'!P37</f>
        <v>1602</v>
      </c>
      <c r="R36" s="510">
        <f>+'[4]2001Tab7'!Q37</f>
        <v>0</v>
      </c>
      <c r="S36" s="510">
        <f>+'[4]2001Tab7'!R37</f>
        <v>0</v>
      </c>
      <c r="T36" s="510">
        <f>+'[4]2001Tab7'!S37</f>
        <v>0</v>
      </c>
      <c r="U36" s="783">
        <f t="shared" si="0"/>
        <v>29110</v>
      </c>
      <c r="V36" s="793"/>
      <c r="W36" s="790">
        <f>'[11]EOY comparison included'!E30</f>
        <v>29356</v>
      </c>
      <c r="X36" s="458">
        <f t="shared" si="1"/>
        <v>-246</v>
      </c>
      <c r="Y36" s="222">
        <f t="shared" si="2"/>
        <v>0</v>
      </c>
      <c r="Z36" s="222">
        <f t="shared" si="3"/>
        <v>-246</v>
      </c>
    </row>
    <row r="37" spans="1:26" ht="12.75">
      <c r="A37" s="33">
        <v>29</v>
      </c>
      <c r="B37" s="221" t="s">
        <v>438</v>
      </c>
      <c r="C37" s="779">
        <f>+'[4]2001Tab7'!B38</f>
        <v>113</v>
      </c>
      <c r="D37" s="510">
        <f>+'[4]2001Tab7'!C38</f>
        <v>110</v>
      </c>
      <c r="E37" s="510">
        <f>+'[4]2001Tab7'!D38</f>
        <v>1034</v>
      </c>
      <c r="F37" s="510">
        <f>+'[4]2001Tab7'!E38</f>
        <v>1060</v>
      </c>
      <c r="G37" s="510">
        <f>+'[4]2001Tab7'!F38</f>
        <v>1100</v>
      </c>
      <c r="H37" s="510">
        <f>+'[4]2001Tab7'!G38</f>
        <v>1208</v>
      </c>
      <c r="I37" s="510">
        <f>+'[4]2001Tab7'!H38</f>
        <v>1362</v>
      </c>
      <c r="J37" s="510">
        <f>+'[4]2001Tab7'!I38</f>
        <v>1181</v>
      </c>
      <c r="K37" s="510">
        <f>+'[4]2001Tab7'!J38</f>
        <v>1175</v>
      </c>
      <c r="L37" s="510">
        <f>+'[4]2001Tab7'!K38</f>
        <v>1185</v>
      </c>
      <c r="M37" s="774">
        <f>+'[4]2001Tab7'!L38</f>
        <v>1277</v>
      </c>
      <c r="N37" s="771">
        <f>+'[4]2001Tab7'!M38</f>
        <v>1434</v>
      </c>
      <c r="O37" s="510">
        <f>+'[4]2001Tab7'!N38</f>
        <v>953</v>
      </c>
      <c r="P37" s="510">
        <f>+'[4]2001Tab7'!O38</f>
        <v>938</v>
      </c>
      <c r="Q37" s="510">
        <f>+'[4]2001Tab7'!P38</f>
        <v>941</v>
      </c>
      <c r="R37" s="510">
        <f>+'[4]2001Tab7'!Q38</f>
        <v>0</v>
      </c>
      <c r="S37" s="510">
        <f>+'[4]2001Tab7'!R38</f>
        <v>0</v>
      </c>
      <c r="T37" s="510">
        <f>+'[4]2001Tab7'!S38</f>
        <v>0</v>
      </c>
      <c r="U37" s="783">
        <f t="shared" si="0"/>
        <v>15071</v>
      </c>
      <c r="V37" s="793"/>
      <c r="W37" s="790">
        <f>'[11]EOY comparison included'!E31</f>
        <v>15136</v>
      </c>
      <c r="X37" s="458">
        <f t="shared" si="1"/>
        <v>-65</v>
      </c>
      <c r="Y37" s="222">
        <f t="shared" si="2"/>
        <v>0</v>
      </c>
      <c r="Z37" s="222">
        <f t="shared" si="3"/>
        <v>-65</v>
      </c>
    </row>
    <row r="38" spans="1:26" ht="12.75">
      <c r="A38" s="47">
        <v>30</v>
      </c>
      <c r="B38" s="220" t="s">
        <v>439</v>
      </c>
      <c r="C38" s="780">
        <f>+'[4]2001Tab7'!B39</f>
        <v>0</v>
      </c>
      <c r="D38" s="511">
        <f>+'[4]2001Tab7'!C39</f>
        <v>10</v>
      </c>
      <c r="E38" s="511">
        <f>+'[4]2001Tab7'!D39</f>
        <v>179</v>
      </c>
      <c r="F38" s="511">
        <f>+'[4]2001Tab7'!E39</f>
        <v>166</v>
      </c>
      <c r="G38" s="511">
        <f>+'[4]2001Tab7'!F39</f>
        <v>181</v>
      </c>
      <c r="H38" s="511">
        <f>+'[4]2001Tab7'!G39</f>
        <v>196</v>
      </c>
      <c r="I38" s="511">
        <f>+'[4]2001Tab7'!H39</f>
        <v>211</v>
      </c>
      <c r="J38" s="511">
        <f>+'[4]2001Tab7'!I39</f>
        <v>200</v>
      </c>
      <c r="K38" s="511">
        <f>+'[4]2001Tab7'!J39</f>
        <v>190</v>
      </c>
      <c r="L38" s="511">
        <f>+'[4]2001Tab7'!K39</f>
        <v>203</v>
      </c>
      <c r="M38" s="775">
        <f>+'[4]2001Tab7'!L39</f>
        <v>211</v>
      </c>
      <c r="N38" s="772">
        <f>+'[4]2001Tab7'!M39</f>
        <v>215</v>
      </c>
      <c r="O38" s="511">
        <f>+'[4]2001Tab7'!N39</f>
        <v>209</v>
      </c>
      <c r="P38" s="511">
        <f>+'[4]2001Tab7'!O39</f>
        <v>178</v>
      </c>
      <c r="Q38" s="511">
        <f>+'[4]2001Tab7'!P39</f>
        <v>160</v>
      </c>
      <c r="R38" s="511">
        <f>+'[4]2001Tab7'!Q39</f>
        <v>0</v>
      </c>
      <c r="S38" s="511">
        <f>+'[4]2001Tab7'!R39</f>
        <v>0</v>
      </c>
      <c r="T38" s="511">
        <f>+'[4]2001Tab7'!S39</f>
        <v>28</v>
      </c>
      <c r="U38" s="784">
        <f t="shared" si="0"/>
        <v>2537</v>
      </c>
      <c r="V38" s="794"/>
      <c r="W38" s="791">
        <f>'[11]EOY comparison included'!E32</f>
        <v>2596</v>
      </c>
      <c r="X38" s="459">
        <f t="shared" si="1"/>
        <v>-59</v>
      </c>
      <c r="Y38" s="223">
        <f t="shared" si="2"/>
        <v>0</v>
      </c>
      <c r="Z38" s="223">
        <f t="shared" si="3"/>
        <v>-59</v>
      </c>
    </row>
    <row r="39" spans="1:26" ht="12.75">
      <c r="A39" s="33">
        <v>31</v>
      </c>
      <c r="B39" s="221" t="s">
        <v>440</v>
      </c>
      <c r="C39" s="779">
        <f>+'[4]2001Tab7'!B40</f>
        <v>0</v>
      </c>
      <c r="D39" s="510">
        <f>+'[4]2001Tab7'!C40</f>
        <v>34</v>
      </c>
      <c r="E39" s="510">
        <f>+'[4]2001Tab7'!D40</f>
        <v>533</v>
      </c>
      <c r="F39" s="510">
        <f>+'[4]2001Tab7'!E40</f>
        <v>520</v>
      </c>
      <c r="G39" s="510">
        <f>+'[4]2001Tab7'!F40</f>
        <v>516</v>
      </c>
      <c r="H39" s="510">
        <f>+'[4]2001Tab7'!G40</f>
        <v>500</v>
      </c>
      <c r="I39" s="510">
        <f>+'[4]2001Tab7'!H40</f>
        <v>529</v>
      </c>
      <c r="J39" s="510">
        <f>+'[4]2001Tab7'!I40</f>
        <v>490</v>
      </c>
      <c r="K39" s="510">
        <f>+'[4]2001Tab7'!J40</f>
        <v>471</v>
      </c>
      <c r="L39" s="510">
        <f>+'[4]2001Tab7'!K40</f>
        <v>522</v>
      </c>
      <c r="M39" s="774">
        <f>+'[4]2001Tab7'!L40</f>
        <v>565</v>
      </c>
      <c r="N39" s="771">
        <f>+'[4]2001Tab7'!M40</f>
        <v>582</v>
      </c>
      <c r="O39" s="510">
        <f>+'[4]2001Tab7'!N40</f>
        <v>410</v>
      </c>
      <c r="P39" s="510">
        <f>+'[4]2001Tab7'!O40</f>
        <v>483</v>
      </c>
      <c r="Q39" s="510">
        <f>+'[4]2001Tab7'!P40</f>
        <v>396</v>
      </c>
      <c r="R39" s="510">
        <f>+'[4]2001Tab7'!Q40</f>
        <v>0</v>
      </c>
      <c r="S39" s="510">
        <f>+'[4]2001Tab7'!R40</f>
        <v>0</v>
      </c>
      <c r="T39" s="510">
        <f>+'[4]2001Tab7'!S40</f>
        <v>51</v>
      </c>
      <c r="U39" s="783">
        <f t="shared" si="0"/>
        <v>6602</v>
      </c>
      <c r="V39" s="793"/>
      <c r="W39" s="790">
        <f>'[11]EOY comparison included'!E33</f>
        <v>6637</v>
      </c>
      <c r="X39" s="458">
        <f t="shared" si="1"/>
        <v>-35</v>
      </c>
      <c r="Y39" s="222">
        <f t="shared" si="2"/>
        <v>0</v>
      </c>
      <c r="Z39" s="222">
        <f t="shared" si="3"/>
        <v>-35</v>
      </c>
    </row>
    <row r="40" spans="1:26" ht="12.75">
      <c r="A40" s="33">
        <v>32</v>
      </c>
      <c r="B40" s="221" t="s">
        <v>441</v>
      </c>
      <c r="C40" s="779">
        <f>+'[4]2001Tab7'!B41</f>
        <v>0</v>
      </c>
      <c r="D40" s="510">
        <f>+'[4]2001Tab7'!C41</f>
        <v>134</v>
      </c>
      <c r="E40" s="510">
        <f>+'[4]2001Tab7'!D41</f>
        <v>1490</v>
      </c>
      <c r="F40" s="510">
        <f>+'[4]2001Tab7'!E41</f>
        <v>1627</v>
      </c>
      <c r="G40" s="510">
        <f>+'[4]2001Tab7'!F41</f>
        <v>1650</v>
      </c>
      <c r="H40" s="510">
        <f>+'[4]2001Tab7'!G41</f>
        <v>1624</v>
      </c>
      <c r="I40" s="510">
        <f>+'[4]2001Tab7'!H41</f>
        <v>1722</v>
      </c>
      <c r="J40" s="510">
        <f>+'[4]2001Tab7'!I41</f>
        <v>1578</v>
      </c>
      <c r="K40" s="510">
        <f>+'[4]2001Tab7'!J41</f>
        <v>1615</v>
      </c>
      <c r="L40" s="510">
        <f>+'[4]2001Tab7'!K41</f>
        <v>1601</v>
      </c>
      <c r="M40" s="774">
        <f>+'[4]2001Tab7'!L41</f>
        <v>1547</v>
      </c>
      <c r="N40" s="771">
        <f>+'[4]2001Tab7'!M41</f>
        <v>1589</v>
      </c>
      <c r="O40" s="510">
        <f>+'[4]2001Tab7'!N41</f>
        <v>1382</v>
      </c>
      <c r="P40" s="510">
        <f>+'[4]2001Tab7'!O41</f>
        <v>1274</v>
      </c>
      <c r="Q40" s="510">
        <f>+'[4]2001Tab7'!P41</f>
        <v>1095</v>
      </c>
      <c r="R40" s="510">
        <f>+'[4]2001Tab7'!Q41</f>
        <v>0</v>
      </c>
      <c r="S40" s="510">
        <f>+'[4]2001Tab7'!R41</f>
        <v>0</v>
      </c>
      <c r="T40" s="510">
        <f>+'[4]2001Tab7'!S41</f>
        <v>0</v>
      </c>
      <c r="U40" s="783">
        <f t="shared" si="0"/>
        <v>19928</v>
      </c>
      <c r="V40" s="793"/>
      <c r="W40" s="790">
        <f>'[11]EOY comparison included'!E34</f>
        <v>19719</v>
      </c>
      <c r="X40" s="458">
        <f t="shared" si="1"/>
        <v>209</v>
      </c>
      <c r="Y40" s="222">
        <f t="shared" si="2"/>
        <v>209</v>
      </c>
      <c r="Z40" s="222">
        <f t="shared" si="3"/>
        <v>0</v>
      </c>
    </row>
    <row r="41" spans="1:26" ht="12.75">
      <c r="A41" s="33">
        <v>33</v>
      </c>
      <c r="B41" s="221" t="s">
        <v>442</v>
      </c>
      <c r="C41" s="779">
        <f>+'[4]2001Tab7'!B42</f>
        <v>11</v>
      </c>
      <c r="D41" s="510">
        <f>+'[4]2001Tab7'!C42</f>
        <v>6</v>
      </c>
      <c r="E41" s="510">
        <f>+'[4]2001Tab7'!D42</f>
        <v>202</v>
      </c>
      <c r="F41" s="510">
        <f>+'[4]2001Tab7'!E42</f>
        <v>225</v>
      </c>
      <c r="G41" s="510">
        <f>+'[4]2001Tab7'!F42</f>
        <v>223</v>
      </c>
      <c r="H41" s="510">
        <f>+'[4]2001Tab7'!G42</f>
        <v>184</v>
      </c>
      <c r="I41" s="510">
        <f>+'[4]2001Tab7'!H42</f>
        <v>174</v>
      </c>
      <c r="J41" s="510">
        <f>+'[4]2001Tab7'!I42</f>
        <v>165</v>
      </c>
      <c r="K41" s="510">
        <f>+'[4]2001Tab7'!J42</f>
        <v>203</v>
      </c>
      <c r="L41" s="510">
        <f>+'[4]2001Tab7'!K42</f>
        <v>219</v>
      </c>
      <c r="M41" s="774">
        <f>+'[4]2001Tab7'!L42</f>
        <v>246</v>
      </c>
      <c r="N41" s="771">
        <f>+'[4]2001Tab7'!M42</f>
        <v>123</v>
      </c>
      <c r="O41" s="510">
        <f>+'[4]2001Tab7'!N42</f>
        <v>123</v>
      </c>
      <c r="P41" s="510">
        <f>+'[4]2001Tab7'!O42</f>
        <v>113</v>
      </c>
      <c r="Q41" s="510">
        <f>+'[4]2001Tab7'!P42</f>
        <v>134</v>
      </c>
      <c r="R41" s="510">
        <f>+'[4]2001Tab7'!Q42</f>
        <v>0</v>
      </c>
      <c r="S41" s="510">
        <f>+'[4]2001Tab7'!R42</f>
        <v>0</v>
      </c>
      <c r="T41" s="510">
        <f>+'[4]2001Tab7'!S42</f>
        <v>14</v>
      </c>
      <c r="U41" s="783">
        <f t="shared" si="0"/>
        <v>2365</v>
      </c>
      <c r="V41" s="793"/>
      <c r="W41" s="790">
        <f>'[11]EOY comparison included'!E35</f>
        <v>2480</v>
      </c>
      <c r="X41" s="458">
        <f aca="true" t="shared" si="4" ref="X41:X72">+U41-W41</f>
        <v>-115</v>
      </c>
      <c r="Y41" s="222">
        <f t="shared" si="2"/>
        <v>0</v>
      </c>
      <c r="Z41" s="222">
        <f t="shared" si="3"/>
        <v>-115</v>
      </c>
    </row>
    <row r="42" spans="1:26" ht="12.75">
      <c r="A42" s="33">
        <v>34</v>
      </c>
      <c r="B42" s="221" t="s">
        <v>443</v>
      </c>
      <c r="C42" s="779">
        <f>+'[4]2001Tab7'!B43</f>
        <v>32</v>
      </c>
      <c r="D42" s="510">
        <f>+'[4]2001Tab7'!C43</f>
        <v>70</v>
      </c>
      <c r="E42" s="510">
        <f>+'[4]2001Tab7'!D43</f>
        <v>418</v>
      </c>
      <c r="F42" s="510">
        <f>+'[4]2001Tab7'!E43</f>
        <v>465</v>
      </c>
      <c r="G42" s="510">
        <f>+'[4]2001Tab7'!F43</f>
        <v>500</v>
      </c>
      <c r="H42" s="510">
        <f>+'[4]2001Tab7'!G43</f>
        <v>445</v>
      </c>
      <c r="I42" s="510">
        <f>+'[4]2001Tab7'!H43</f>
        <v>406</v>
      </c>
      <c r="J42" s="510">
        <f>+'[4]2001Tab7'!I43</f>
        <v>426</v>
      </c>
      <c r="K42" s="510">
        <f>+'[4]2001Tab7'!J43</f>
        <v>369</v>
      </c>
      <c r="L42" s="510">
        <f>+'[4]2001Tab7'!K43</f>
        <v>469</v>
      </c>
      <c r="M42" s="774">
        <f>+'[4]2001Tab7'!L43</f>
        <v>366</v>
      </c>
      <c r="N42" s="771">
        <f>+'[4]2001Tab7'!M43</f>
        <v>404</v>
      </c>
      <c r="O42" s="510">
        <f>+'[4]2001Tab7'!N43</f>
        <v>256</v>
      </c>
      <c r="P42" s="510">
        <f>+'[4]2001Tab7'!O43</f>
        <v>249</v>
      </c>
      <c r="Q42" s="510">
        <f>+'[4]2001Tab7'!P43</f>
        <v>242</v>
      </c>
      <c r="R42" s="510">
        <f>+'[4]2001Tab7'!Q43</f>
        <v>0</v>
      </c>
      <c r="S42" s="510">
        <f>+'[4]2001Tab7'!R43</f>
        <v>0</v>
      </c>
      <c r="T42" s="510">
        <f>+'[4]2001Tab7'!S43</f>
        <v>54</v>
      </c>
      <c r="U42" s="783">
        <f t="shared" si="0"/>
        <v>5171</v>
      </c>
      <c r="V42" s="793"/>
      <c r="W42" s="790">
        <f>'[11]EOY comparison included'!E36</f>
        <v>5297</v>
      </c>
      <c r="X42" s="458">
        <f t="shared" si="4"/>
        <v>-126</v>
      </c>
      <c r="Y42" s="222">
        <f t="shared" si="2"/>
        <v>0</v>
      </c>
      <c r="Z42" s="222">
        <f t="shared" si="3"/>
        <v>-126</v>
      </c>
    </row>
    <row r="43" spans="1:26" ht="12.75">
      <c r="A43" s="47">
        <v>35</v>
      </c>
      <c r="B43" s="220" t="s">
        <v>444</v>
      </c>
      <c r="C43" s="780">
        <f>+'[4]2001Tab7'!B44</f>
        <v>27</v>
      </c>
      <c r="D43" s="511">
        <f>+'[4]2001Tab7'!C44</f>
        <v>54</v>
      </c>
      <c r="E43" s="511">
        <f>+'[4]2001Tab7'!D44</f>
        <v>552</v>
      </c>
      <c r="F43" s="511">
        <f>+'[4]2001Tab7'!E44</f>
        <v>530</v>
      </c>
      <c r="G43" s="511">
        <f>+'[4]2001Tab7'!F44</f>
        <v>542</v>
      </c>
      <c r="H43" s="511">
        <f>+'[4]2001Tab7'!G44</f>
        <v>528</v>
      </c>
      <c r="I43" s="511">
        <f>+'[4]2001Tab7'!H44</f>
        <v>730</v>
      </c>
      <c r="J43" s="511">
        <f>+'[4]2001Tab7'!I44</f>
        <v>437</v>
      </c>
      <c r="K43" s="511">
        <f>+'[4]2001Tab7'!J44</f>
        <v>408</v>
      </c>
      <c r="L43" s="511">
        <f>+'[4]2001Tab7'!K44</f>
        <v>570</v>
      </c>
      <c r="M43" s="775">
        <f>+'[4]2001Tab7'!L44</f>
        <v>672</v>
      </c>
      <c r="N43" s="772">
        <f>+'[4]2001Tab7'!M44</f>
        <v>576</v>
      </c>
      <c r="O43" s="511">
        <f>+'[4]2001Tab7'!N44</f>
        <v>251</v>
      </c>
      <c r="P43" s="511">
        <f>+'[4]2001Tab7'!O44</f>
        <v>416</v>
      </c>
      <c r="Q43" s="511">
        <f>+'[4]2001Tab7'!P44</f>
        <v>330</v>
      </c>
      <c r="R43" s="511">
        <f>+'[4]2001Tab7'!Q44</f>
        <v>0</v>
      </c>
      <c r="S43" s="511">
        <f>+'[4]2001Tab7'!R44</f>
        <v>0</v>
      </c>
      <c r="T43" s="511">
        <f>+'[4]2001Tab7'!S44</f>
        <v>48</v>
      </c>
      <c r="U43" s="784">
        <f t="shared" si="0"/>
        <v>6671</v>
      </c>
      <c r="V43" s="794"/>
      <c r="W43" s="791">
        <f>'[11]EOY comparison included'!E37</f>
        <v>6770</v>
      </c>
      <c r="X43" s="459">
        <f t="shared" si="4"/>
        <v>-99</v>
      </c>
      <c r="Y43" s="223">
        <f t="shared" si="2"/>
        <v>0</v>
      </c>
      <c r="Z43" s="223">
        <f t="shared" si="3"/>
        <v>-99</v>
      </c>
    </row>
    <row r="44" spans="1:26" ht="12.75">
      <c r="A44" s="33">
        <v>36</v>
      </c>
      <c r="B44" s="221" t="s">
        <v>445</v>
      </c>
      <c r="C44" s="779">
        <f>+'[4]2001Tab7'!B45</f>
        <v>0</v>
      </c>
      <c r="D44" s="510">
        <f>+'[4]2001Tab7'!C45</f>
        <v>314</v>
      </c>
      <c r="E44" s="510">
        <f>+'[4]2001Tab7'!D45</f>
        <v>4137</v>
      </c>
      <c r="F44" s="510">
        <f>+'[4]2001Tab7'!E45</f>
        <v>5674</v>
      </c>
      <c r="G44" s="510">
        <f>+'[4]2001Tab7'!F45</f>
        <v>6089</v>
      </c>
      <c r="H44" s="510">
        <f>+'[4]2001Tab7'!G45</f>
        <v>6247</v>
      </c>
      <c r="I44" s="510">
        <f>+'[4]2001Tab7'!H45</f>
        <v>7591</v>
      </c>
      <c r="J44" s="510">
        <f>+'[4]2001Tab7'!I45</f>
        <v>4715</v>
      </c>
      <c r="K44" s="510">
        <f>+'[4]2001Tab7'!J45</f>
        <v>5011</v>
      </c>
      <c r="L44" s="510">
        <f>+'[4]2001Tab7'!K45</f>
        <v>5517</v>
      </c>
      <c r="M44" s="774">
        <f>+'[4]2001Tab7'!L45</f>
        <v>7555</v>
      </c>
      <c r="N44" s="771">
        <f>+'[4]2001Tab7'!M45</f>
        <v>4755</v>
      </c>
      <c r="O44" s="510">
        <f>+'[4]2001Tab7'!N45</f>
        <v>4594</v>
      </c>
      <c r="P44" s="510">
        <f>+'[4]2001Tab7'!O45</f>
        <v>4670</v>
      </c>
      <c r="Q44" s="510">
        <f>+'[4]2001Tab7'!P45</f>
        <v>4393</v>
      </c>
      <c r="R44" s="510">
        <f>+'[4]2001Tab7'!Q45</f>
        <v>0</v>
      </c>
      <c r="S44" s="510">
        <f>+'[4]2001Tab7'!R45</f>
        <v>0</v>
      </c>
      <c r="T44" s="510">
        <f>+'[4]2001Tab7'!S45</f>
        <v>0</v>
      </c>
      <c r="U44" s="783">
        <f t="shared" si="0"/>
        <v>71262</v>
      </c>
      <c r="V44" s="793"/>
      <c r="W44" s="790">
        <f>'[11]EOY comparison included'!E38</f>
        <v>74685</v>
      </c>
      <c r="X44" s="458">
        <f t="shared" si="4"/>
        <v>-3423</v>
      </c>
      <c r="Y44" s="222">
        <f t="shared" si="2"/>
        <v>0</v>
      </c>
      <c r="Z44" s="222">
        <f t="shared" si="3"/>
        <v>-3423</v>
      </c>
    </row>
    <row r="45" spans="1:26" ht="12.75">
      <c r="A45" s="33">
        <v>37</v>
      </c>
      <c r="B45" s="221" t="s">
        <v>446</v>
      </c>
      <c r="C45" s="779">
        <f>+'[4]2001Tab7'!B46</f>
        <v>69</v>
      </c>
      <c r="D45" s="510">
        <f>+'[4]2001Tab7'!C46</f>
        <v>114</v>
      </c>
      <c r="E45" s="510">
        <f>+'[4]2001Tab7'!D46</f>
        <v>1349</v>
      </c>
      <c r="F45" s="510">
        <f>+'[4]2001Tab7'!E46</f>
        <v>1421</v>
      </c>
      <c r="G45" s="510">
        <f>+'[4]2001Tab7'!F46</f>
        <v>1306</v>
      </c>
      <c r="H45" s="510">
        <f>+'[4]2001Tab7'!G46</f>
        <v>1366</v>
      </c>
      <c r="I45" s="510">
        <f>+'[4]2001Tab7'!H46</f>
        <v>1438</v>
      </c>
      <c r="J45" s="510">
        <f>+'[4]2001Tab7'!I46</f>
        <v>1368</v>
      </c>
      <c r="K45" s="510">
        <f>+'[4]2001Tab7'!J46</f>
        <v>1373</v>
      </c>
      <c r="L45" s="510">
        <f>+'[4]2001Tab7'!K46</f>
        <v>1541</v>
      </c>
      <c r="M45" s="774">
        <f>+'[4]2001Tab7'!L46</f>
        <v>1510</v>
      </c>
      <c r="N45" s="771">
        <f>+'[4]2001Tab7'!M46</f>
        <v>1433</v>
      </c>
      <c r="O45" s="510">
        <f>+'[4]2001Tab7'!N46</f>
        <v>1262</v>
      </c>
      <c r="P45" s="510">
        <f>+'[4]2001Tab7'!O46</f>
        <v>1099</v>
      </c>
      <c r="Q45" s="510">
        <f>+'[4]2001Tab7'!P46</f>
        <v>996</v>
      </c>
      <c r="R45" s="510">
        <f>+'[4]2001Tab7'!Q46</f>
        <v>0</v>
      </c>
      <c r="S45" s="510">
        <f>+'[4]2001Tab7'!R46</f>
        <v>0</v>
      </c>
      <c r="T45" s="510">
        <f>+'[4]2001Tab7'!S46</f>
        <v>0</v>
      </c>
      <c r="U45" s="783">
        <f t="shared" si="0"/>
        <v>17645</v>
      </c>
      <c r="V45" s="793"/>
      <c r="W45" s="790">
        <f>'[11]EOY comparison included'!E39</f>
        <v>17339</v>
      </c>
      <c r="X45" s="458">
        <f t="shared" si="4"/>
        <v>306</v>
      </c>
      <c r="Y45" s="222">
        <f t="shared" si="2"/>
        <v>306</v>
      </c>
      <c r="Z45" s="222">
        <f t="shared" si="3"/>
        <v>0</v>
      </c>
    </row>
    <row r="46" spans="1:26" ht="12.75">
      <c r="A46" s="33">
        <v>38</v>
      </c>
      <c r="B46" s="221" t="s">
        <v>447</v>
      </c>
      <c r="C46" s="779">
        <f>+'[4]2001Tab7'!B47</f>
        <v>0</v>
      </c>
      <c r="D46" s="510">
        <f>+'[4]2001Tab7'!C47</f>
        <v>10</v>
      </c>
      <c r="E46" s="510">
        <f>+'[4]2001Tab7'!D47</f>
        <v>354</v>
      </c>
      <c r="F46" s="510">
        <f>+'[4]2001Tab7'!E47</f>
        <v>381</v>
      </c>
      <c r="G46" s="510">
        <f>+'[4]2001Tab7'!F47</f>
        <v>354</v>
      </c>
      <c r="H46" s="510">
        <f>+'[4]2001Tab7'!G47</f>
        <v>378</v>
      </c>
      <c r="I46" s="510">
        <f>+'[4]2001Tab7'!H47</f>
        <v>378</v>
      </c>
      <c r="J46" s="510">
        <f>+'[4]2001Tab7'!I47</f>
        <v>378</v>
      </c>
      <c r="K46" s="510">
        <f>+'[4]2001Tab7'!J47</f>
        <v>362</v>
      </c>
      <c r="L46" s="510">
        <f>+'[4]2001Tab7'!K47</f>
        <v>360</v>
      </c>
      <c r="M46" s="774">
        <f>+'[4]2001Tab7'!L47</f>
        <v>339</v>
      </c>
      <c r="N46" s="771">
        <f>+'[4]2001Tab7'!M47</f>
        <v>396</v>
      </c>
      <c r="O46" s="510">
        <f>+'[4]2001Tab7'!N47</f>
        <v>330</v>
      </c>
      <c r="P46" s="510">
        <f>+'[4]2001Tab7'!O47</f>
        <v>347</v>
      </c>
      <c r="Q46" s="510">
        <f>+'[4]2001Tab7'!P47</f>
        <v>302</v>
      </c>
      <c r="R46" s="510">
        <f>+'[4]2001Tab7'!Q47</f>
        <v>0</v>
      </c>
      <c r="S46" s="510">
        <f>+'[4]2001Tab7'!R47</f>
        <v>0</v>
      </c>
      <c r="T46" s="510">
        <f>+'[4]2001Tab7'!S47</f>
        <v>51</v>
      </c>
      <c r="U46" s="783">
        <f t="shared" si="0"/>
        <v>4720</v>
      </c>
      <c r="V46" s="793"/>
      <c r="W46" s="790">
        <f>'[11]EOY comparison included'!E40</f>
        <v>4766</v>
      </c>
      <c r="X46" s="458">
        <f t="shared" si="4"/>
        <v>-46</v>
      </c>
      <c r="Y46" s="222">
        <f t="shared" si="2"/>
        <v>0</v>
      </c>
      <c r="Z46" s="222">
        <f t="shared" si="3"/>
        <v>-46</v>
      </c>
    </row>
    <row r="47" spans="1:26" ht="12.75">
      <c r="A47" s="33">
        <v>39</v>
      </c>
      <c r="B47" s="221" t="s">
        <v>448</v>
      </c>
      <c r="C47" s="779">
        <f>+'[4]2001Tab7'!B48</f>
        <v>0</v>
      </c>
      <c r="D47" s="510">
        <f>+'[4]2001Tab7'!C48</f>
        <v>27</v>
      </c>
      <c r="E47" s="510">
        <f>+'[4]2001Tab7'!D48</f>
        <v>241</v>
      </c>
      <c r="F47" s="510">
        <f>+'[4]2001Tab7'!E48</f>
        <v>285</v>
      </c>
      <c r="G47" s="510">
        <f>+'[4]2001Tab7'!F48</f>
        <v>258</v>
      </c>
      <c r="H47" s="510">
        <f>+'[4]2001Tab7'!G48</f>
        <v>283</v>
      </c>
      <c r="I47" s="510">
        <f>+'[4]2001Tab7'!H48</f>
        <v>243</v>
      </c>
      <c r="J47" s="510">
        <f>+'[4]2001Tab7'!I48</f>
        <v>240</v>
      </c>
      <c r="K47" s="510">
        <f>+'[4]2001Tab7'!J48</f>
        <v>195</v>
      </c>
      <c r="L47" s="510">
        <f>+'[4]2001Tab7'!K48</f>
        <v>281</v>
      </c>
      <c r="M47" s="774">
        <f>+'[4]2001Tab7'!L48</f>
        <v>292</v>
      </c>
      <c r="N47" s="771">
        <f>+'[4]2001Tab7'!M48</f>
        <v>210</v>
      </c>
      <c r="O47" s="510">
        <f>+'[4]2001Tab7'!N48</f>
        <v>216</v>
      </c>
      <c r="P47" s="510">
        <f>+'[4]2001Tab7'!O48</f>
        <v>181</v>
      </c>
      <c r="Q47" s="510">
        <f>+'[4]2001Tab7'!P48</f>
        <v>194</v>
      </c>
      <c r="R47" s="510">
        <f>+'[4]2001Tab7'!Q48</f>
        <v>0</v>
      </c>
      <c r="S47" s="510">
        <f>+'[4]2001Tab7'!R48</f>
        <v>0</v>
      </c>
      <c r="T47" s="510">
        <f>+'[4]2001Tab7'!S48</f>
        <v>27</v>
      </c>
      <c r="U47" s="783">
        <f t="shared" si="0"/>
        <v>3173</v>
      </c>
      <c r="V47" s="793"/>
      <c r="W47" s="790">
        <f>'[11]EOY comparison included'!E41</f>
        <v>3261</v>
      </c>
      <c r="X47" s="458">
        <f t="shared" si="4"/>
        <v>-88</v>
      </c>
      <c r="Y47" s="222">
        <f t="shared" si="2"/>
        <v>0</v>
      </c>
      <c r="Z47" s="222">
        <f t="shared" si="3"/>
        <v>-88</v>
      </c>
    </row>
    <row r="48" spans="1:26" ht="12.75">
      <c r="A48" s="47">
        <v>40</v>
      </c>
      <c r="B48" s="220" t="s">
        <v>449</v>
      </c>
      <c r="C48" s="780">
        <f>+'[4]2001Tab7'!B49</f>
        <v>81</v>
      </c>
      <c r="D48" s="511">
        <f>+'[4]2001Tab7'!C49</f>
        <v>141</v>
      </c>
      <c r="E48" s="511">
        <f>+'[4]2001Tab7'!D49</f>
        <v>1786</v>
      </c>
      <c r="F48" s="511">
        <f>+'[4]2001Tab7'!E49</f>
        <v>1914</v>
      </c>
      <c r="G48" s="511">
        <f>+'[4]2001Tab7'!F49</f>
        <v>1809</v>
      </c>
      <c r="H48" s="511">
        <f>+'[4]2001Tab7'!G49</f>
        <v>1765</v>
      </c>
      <c r="I48" s="511">
        <f>+'[4]2001Tab7'!H49</f>
        <v>1782</v>
      </c>
      <c r="J48" s="511">
        <f>+'[4]2001Tab7'!I49</f>
        <v>1581</v>
      </c>
      <c r="K48" s="511">
        <f>+'[4]2001Tab7'!J49</f>
        <v>1670</v>
      </c>
      <c r="L48" s="511">
        <f>+'[4]2001Tab7'!K49</f>
        <v>1727</v>
      </c>
      <c r="M48" s="775">
        <f>+'[4]2001Tab7'!L49</f>
        <v>1808</v>
      </c>
      <c r="N48" s="772">
        <f>+'[4]2001Tab7'!M49</f>
        <v>1847</v>
      </c>
      <c r="O48" s="511">
        <f>+'[4]2001Tab7'!N49</f>
        <v>1656</v>
      </c>
      <c r="P48" s="511">
        <f>+'[4]2001Tab7'!O49</f>
        <v>1574</v>
      </c>
      <c r="Q48" s="511">
        <f>+'[4]2001Tab7'!P49</f>
        <v>1451</v>
      </c>
      <c r="R48" s="511">
        <f>+'[4]2001Tab7'!Q49</f>
        <v>0</v>
      </c>
      <c r="S48" s="511">
        <f>+'[4]2001Tab7'!R49</f>
        <v>0</v>
      </c>
      <c r="T48" s="511">
        <f>+'[4]2001Tab7'!S49</f>
        <v>0</v>
      </c>
      <c r="U48" s="784">
        <f t="shared" si="0"/>
        <v>22592</v>
      </c>
      <c r="V48" s="794"/>
      <c r="W48" s="791">
        <f>'[11]EOY comparison included'!E42</f>
        <v>22978</v>
      </c>
      <c r="X48" s="459">
        <f t="shared" si="4"/>
        <v>-386</v>
      </c>
      <c r="Y48" s="223">
        <f t="shared" si="2"/>
        <v>0</v>
      </c>
      <c r="Z48" s="223">
        <f t="shared" si="3"/>
        <v>-386</v>
      </c>
    </row>
    <row r="49" spans="1:26" ht="12.75">
      <c r="A49" s="33">
        <v>41</v>
      </c>
      <c r="B49" s="221" t="s">
        <v>450</v>
      </c>
      <c r="C49" s="779">
        <f>+'[4]2001Tab7'!B50</f>
        <v>0</v>
      </c>
      <c r="D49" s="510">
        <f>+'[4]2001Tab7'!C50</f>
        <v>9</v>
      </c>
      <c r="E49" s="510">
        <f>+'[4]2001Tab7'!D50</f>
        <v>131</v>
      </c>
      <c r="F49" s="510">
        <f>+'[4]2001Tab7'!E50</f>
        <v>118</v>
      </c>
      <c r="G49" s="510">
        <f>+'[4]2001Tab7'!F50</f>
        <v>148</v>
      </c>
      <c r="H49" s="510">
        <f>+'[4]2001Tab7'!G50</f>
        <v>148</v>
      </c>
      <c r="I49" s="510">
        <f>+'[4]2001Tab7'!H50</f>
        <v>148</v>
      </c>
      <c r="J49" s="510">
        <f>+'[4]2001Tab7'!I50</f>
        <v>97</v>
      </c>
      <c r="K49" s="510">
        <f>+'[4]2001Tab7'!J50</f>
        <v>124</v>
      </c>
      <c r="L49" s="510">
        <f>+'[4]2001Tab7'!K50</f>
        <v>136</v>
      </c>
      <c r="M49" s="774">
        <f>+'[4]2001Tab7'!L50</f>
        <v>137</v>
      </c>
      <c r="N49" s="771">
        <f>+'[4]2001Tab7'!M50</f>
        <v>140</v>
      </c>
      <c r="O49" s="510">
        <f>+'[4]2001Tab7'!N50</f>
        <v>124</v>
      </c>
      <c r="P49" s="510">
        <f>+'[4]2001Tab7'!O50</f>
        <v>87</v>
      </c>
      <c r="Q49" s="510">
        <f>+'[4]2001Tab7'!P50</f>
        <v>91</v>
      </c>
      <c r="R49" s="510">
        <f>+'[4]2001Tab7'!Q50</f>
        <v>0</v>
      </c>
      <c r="S49" s="510">
        <f>+'[4]2001Tab7'!R50</f>
        <v>0</v>
      </c>
      <c r="T49" s="510">
        <f>+'[4]2001Tab7'!S50</f>
        <v>11</v>
      </c>
      <c r="U49" s="783">
        <f t="shared" si="0"/>
        <v>1649</v>
      </c>
      <c r="V49" s="793"/>
      <c r="W49" s="790">
        <f>'[11]EOY comparison included'!E43</f>
        <v>1815</v>
      </c>
      <c r="X49" s="458">
        <f t="shared" si="4"/>
        <v>-166</v>
      </c>
      <c r="Y49" s="222">
        <f t="shared" si="2"/>
        <v>0</v>
      </c>
      <c r="Z49" s="222">
        <f t="shared" si="3"/>
        <v>-166</v>
      </c>
    </row>
    <row r="50" spans="1:26" ht="12.75">
      <c r="A50" s="33">
        <v>42</v>
      </c>
      <c r="B50" s="221" t="s">
        <v>451</v>
      </c>
      <c r="C50" s="779">
        <f>+'[4]2001Tab7'!B51</f>
        <v>12</v>
      </c>
      <c r="D50" s="510">
        <f>+'[4]2001Tab7'!C51</f>
        <v>46</v>
      </c>
      <c r="E50" s="510">
        <f>+'[4]2001Tab7'!D51</f>
        <v>259</v>
      </c>
      <c r="F50" s="510">
        <f>+'[4]2001Tab7'!E51</f>
        <v>300</v>
      </c>
      <c r="G50" s="510">
        <f>+'[4]2001Tab7'!F51</f>
        <v>271</v>
      </c>
      <c r="H50" s="510">
        <f>+'[4]2001Tab7'!G51</f>
        <v>295</v>
      </c>
      <c r="I50" s="510">
        <f>+'[4]2001Tab7'!H51</f>
        <v>299</v>
      </c>
      <c r="J50" s="510">
        <f>+'[4]2001Tab7'!I51</f>
        <v>295</v>
      </c>
      <c r="K50" s="510">
        <f>+'[4]2001Tab7'!J51</f>
        <v>300</v>
      </c>
      <c r="L50" s="510">
        <f>+'[4]2001Tab7'!K51</f>
        <v>284</v>
      </c>
      <c r="M50" s="774">
        <f>+'[4]2001Tab7'!L51</f>
        <v>272</v>
      </c>
      <c r="N50" s="771">
        <f>+'[4]2001Tab7'!M51</f>
        <v>339</v>
      </c>
      <c r="O50" s="510">
        <f>+'[4]2001Tab7'!N51</f>
        <v>198</v>
      </c>
      <c r="P50" s="510">
        <f>+'[4]2001Tab7'!O51</f>
        <v>187</v>
      </c>
      <c r="Q50" s="510">
        <f>+'[4]2001Tab7'!P51</f>
        <v>181</v>
      </c>
      <c r="R50" s="510">
        <f>+'[4]2001Tab7'!Q51</f>
        <v>0</v>
      </c>
      <c r="S50" s="510">
        <f>+'[4]2001Tab7'!R51</f>
        <v>0</v>
      </c>
      <c r="T50" s="510">
        <f>+'[4]2001Tab7'!S51</f>
        <v>32</v>
      </c>
      <c r="U50" s="783">
        <f t="shared" si="0"/>
        <v>3570</v>
      </c>
      <c r="V50" s="793"/>
      <c r="W50" s="790">
        <f>'[11]EOY comparison included'!E44</f>
        <v>3766</v>
      </c>
      <c r="X50" s="458">
        <f t="shared" si="4"/>
        <v>-196</v>
      </c>
      <c r="Y50" s="222">
        <f t="shared" si="2"/>
        <v>0</v>
      </c>
      <c r="Z50" s="222">
        <f t="shared" si="3"/>
        <v>-196</v>
      </c>
    </row>
    <row r="51" spans="1:26" ht="12.75">
      <c r="A51" s="33">
        <v>43</v>
      </c>
      <c r="B51" s="221" t="s">
        <v>452</v>
      </c>
      <c r="C51" s="779">
        <f>+'[4]2001Tab7'!B52</f>
        <v>26</v>
      </c>
      <c r="D51" s="510">
        <f>+'[4]2001Tab7'!C52</f>
        <v>20</v>
      </c>
      <c r="E51" s="510">
        <f>+'[4]2001Tab7'!D52</f>
        <v>275</v>
      </c>
      <c r="F51" s="510">
        <f>+'[4]2001Tab7'!E52</f>
        <v>295</v>
      </c>
      <c r="G51" s="510">
        <f>+'[4]2001Tab7'!F52</f>
        <v>282</v>
      </c>
      <c r="H51" s="510">
        <f>+'[4]2001Tab7'!G52</f>
        <v>270</v>
      </c>
      <c r="I51" s="510">
        <f>+'[4]2001Tab7'!H52</f>
        <v>361</v>
      </c>
      <c r="J51" s="510">
        <f>+'[4]2001Tab7'!I52</f>
        <v>355</v>
      </c>
      <c r="K51" s="510">
        <f>+'[4]2001Tab7'!J52</f>
        <v>309</v>
      </c>
      <c r="L51" s="510">
        <f>+'[4]2001Tab7'!K52</f>
        <v>344</v>
      </c>
      <c r="M51" s="774">
        <f>+'[4]2001Tab7'!L52</f>
        <v>346</v>
      </c>
      <c r="N51" s="771">
        <f>+'[4]2001Tab7'!M52</f>
        <v>342</v>
      </c>
      <c r="O51" s="510">
        <f>+'[4]2001Tab7'!N52</f>
        <v>333</v>
      </c>
      <c r="P51" s="510">
        <f>+'[4]2001Tab7'!O52</f>
        <v>280</v>
      </c>
      <c r="Q51" s="510">
        <f>+'[4]2001Tab7'!P52</f>
        <v>269</v>
      </c>
      <c r="R51" s="510">
        <f>+'[4]2001Tab7'!Q52</f>
        <v>0</v>
      </c>
      <c r="S51" s="510">
        <f>+'[4]2001Tab7'!R52</f>
        <v>0</v>
      </c>
      <c r="T51" s="510">
        <f>+'[4]2001Tab7'!S52</f>
        <v>55</v>
      </c>
      <c r="U51" s="783">
        <f t="shared" si="0"/>
        <v>4162</v>
      </c>
      <c r="V51" s="793"/>
      <c r="W51" s="790">
        <f>'[11]EOY comparison included'!E45</f>
        <v>4251</v>
      </c>
      <c r="X51" s="458">
        <f t="shared" si="4"/>
        <v>-89</v>
      </c>
      <c r="Y51" s="222">
        <f t="shared" si="2"/>
        <v>0</v>
      </c>
      <c r="Z51" s="222">
        <f t="shared" si="3"/>
        <v>-89</v>
      </c>
    </row>
    <row r="52" spans="1:26" ht="12.75">
      <c r="A52" s="33">
        <v>44</v>
      </c>
      <c r="B52" s="221" t="s">
        <v>453</v>
      </c>
      <c r="C52" s="779">
        <f>+'[4]2001Tab7'!B53</f>
        <v>8</v>
      </c>
      <c r="D52" s="510">
        <f>+'[4]2001Tab7'!C53</f>
        <v>52</v>
      </c>
      <c r="E52" s="510">
        <f>+'[4]2001Tab7'!D53</f>
        <v>593</v>
      </c>
      <c r="F52" s="510">
        <f>+'[4]2001Tab7'!E53</f>
        <v>667</v>
      </c>
      <c r="G52" s="510">
        <f>+'[4]2001Tab7'!F53</f>
        <v>659</v>
      </c>
      <c r="H52" s="510">
        <f>+'[4]2001Tab7'!G53</f>
        <v>708</v>
      </c>
      <c r="I52" s="510">
        <f>+'[4]2001Tab7'!H53</f>
        <v>666</v>
      </c>
      <c r="J52" s="510">
        <f>+'[4]2001Tab7'!I53</f>
        <v>661</v>
      </c>
      <c r="K52" s="510">
        <f>+'[4]2001Tab7'!J53</f>
        <v>754</v>
      </c>
      <c r="L52" s="510">
        <f>+'[4]2001Tab7'!K53</f>
        <v>702</v>
      </c>
      <c r="M52" s="774">
        <f>+'[4]2001Tab7'!L53</f>
        <v>696</v>
      </c>
      <c r="N52" s="771">
        <f>+'[4]2001Tab7'!M53</f>
        <v>735</v>
      </c>
      <c r="O52" s="510">
        <f>+'[4]2001Tab7'!N53</f>
        <v>595</v>
      </c>
      <c r="P52" s="510">
        <f>+'[4]2001Tab7'!O53</f>
        <v>494</v>
      </c>
      <c r="Q52" s="510">
        <f>+'[4]2001Tab7'!P53</f>
        <v>422</v>
      </c>
      <c r="R52" s="510">
        <f>+'[4]2001Tab7'!Q53</f>
        <v>0</v>
      </c>
      <c r="S52" s="510">
        <f>+'[4]2001Tab7'!R53</f>
        <v>0</v>
      </c>
      <c r="T52" s="510">
        <f>+'[4]2001Tab7'!S53</f>
        <v>0</v>
      </c>
      <c r="U52" s="783">
        <f t="shared" si="0"/>
        <v>8412</v>
      </c>
      <c r="V52" s="793"/>
      <c r="W52" s="790">
        <f>'[11]EOY comparison included'!E46</f>
        <v>8479</v>
      </c>
      <c r="X52" s="458">
        <f t="shared" si="4"/>
        <v>-67</v>
      </c>
      <c r="Y52" s="222">
        <f t="shared" si="2"/>
        <v>0</v>
      </c>
      <c r="Z52" s="222">
        <f t="shared" si="3"/>
        <v>-67</v>
      </c>
    </row>
    <row r="53" spans="1:26" ht="12.75">
      <c r="A53" s="47">
        <v>45</v>
      </c>
      <c r="B53" s="220" t="s">
        <v>454</v>
      </c>
      <c r="C53" s="780">
        <f>+'[4]2001Tab7'!B54</f>
        <v>67</v>
      </c>
      <c r="D53" s="511">
        <f>+'[4]2001Tab7'!C54</f>
        <v>61</v>
      </c>
      <c r="E53" s="511">
        <f>+'[4]2001Tab7'!D54</f>
        <v>805</v>
      </c>
      <c r="F53" s="511">
        <f>+'[4]2001Tab7'!E54</f>
        <v>702</v>
      </c>
      <c r="G53" s="511">
        <f>+'[4]2001Tab7'!F54</f>
        <v>717</v>
      </c>
      <c r="H53" s="511">
        <f>+'[4]2001Tab7'!G54</f>
        <v>720</v>
      </c>
      <c r="I53" s="511">
        <f>+'[4]2001Tab7'!H54</f>
        <v>736</v>
      </c>
      <c r="J53" s="511">
        <f>+'[4]2001Tab7'!I54</f>
        <v>766</v>
      </c>
      <c r="K53" s="511">
        <f>+'[4]2001Tab7'!J54</f>
        <v>747</v>
      </c>
      <c r="L53" s="511">
        <f>+'[4]2001Tab7'!K54</f>
        <v>725</v>
      </c>
      <c r="M53" s="775">
        <f>+'[4]2001Tab7'!L54</f>
        <v>729</v>
      </c>
      <c r="N53" s="772">
        <f>+'[4]2001Tab7'!M54</f>
        <v>894</v>
      </c>
      <c r="O53" s="511">
        <f>+'[4]2001Tab7'!N54</f>
        <v>697</v>
      </c>
      <c r="P53" s="511">
        <f>+'[4]2001Tab7'!O54</f>
        <v>624</v>
      </c>
      <c r="Q53" s="511">
        <f>+'[4]2001Tab7'!P54</f>
        <v>656</v>
      </c>
      <c r="R53" s="511">
        <f>+'[4]2001Tab7'!Q54</f>
        <v>0</v>
      </c>
      <c r="S53" s="511">
        <f>+'[4]2001Tab7'!R54</f>
        <v>0</v>
      </c>
      <c r="T53" s="511">
        <f>+'[4]2001Tab7'!S54</f>
        <v>0</v>
      </c>
      <c r="U53" s="784">
        <f t="shared" si="0"/>
        <v>9646</v>
      </c>
      <c r="V53" s="794"/>
      <c r="W53" s="791">
        <f>'[11]EOY comparison included'!E47</f>
        <v>9692</v>
      </c>
      <c r="X53" s="459">
        <f t="shared" si="4"/>
        <v>-46</v>
      </c>
      <c r="Y53" s="223">
        <f t="shared" si="2"/>
        <v>0</v>
      </c>
      <c r="Z53" s="223">
        <f t="shared" si="3"/>
        <v>-46</v>
      </c>
    </row>
    <row r="54" spans="1:26" ht="12.75">
      <c r="A54" s="33">
        <v>46</v>
      </c>
      <c r="B54" s="221" t="s">
        <v>455</v>
      </c>
      <c r="C54" s="779">
        <f>+'[4]2001Tab7'!B55</f>
        <v>0</v>
      </c>
      <c r="D54" s="510">
        <f>+'[4]2001Tab7'!C55</f>
        <v>8</v>
      </c>
      <c r="E54" s="510">
        <f>+'[4]2001Tab7'!D55</f>
        <v>101</v>
      </c>
      <c r="F54" s="510">
        <f>+'[4]2001Tab7'!E55</f>
        <v>130</v>
      </c>
      <c r="G54" s="510">
        <f>+'[4]2001Tab7'!F55</f>
        <v>114</v>
      </c>
      <c r="H54" s="510">
        <f>+'[4]2001Tab7'!G55</f>
        <v>124</v>
      </c>
      <c r="I54" s="510">
        <f>+'[4]2001Tab7'!H55</f>
        <v>117</v>
      </c>
      <c r="J54" s="510">
        <f>+'[4]2001Tab7'!I55</f>
        <v>82</v>
      </c>
      <c r="K54" s="510">
        <f>+'[4]2001Tab7'!J55</f>
        <v>107</v>
      </c>
      <c r="L54" s="510">
        <f>+'[4]2001Tab7'!K55</f>
        <v>93</v>
      </c>
      <c r="M54" s="774">
        <f>+'[4]2001Tab7'!L55</f>
        <v>112</v>
      </c>
      <c r="N54" s="771">
        <f>+'[4]2001Tab7'!M55</f>
        <v>140</v>
      </c>
      <c r="O54" s="510">
        <f>+'[4]2001Tab7'!N55</f>
        <v>99</v>
      </c>
      <c r="P54" s="510">
        <f>+'[4]2001Tab7'!O55</f>
        <v>67</v>
      </c>
      <c r="Q54" s="510">
        <f>+'[4]2001Tab7'!P55</f>
        <v>53</v>
      </c>
      <c r="R54" s="510">
        <f>+'[4]2001Tab7'!Q55</f>
        <v>0</v>
      </c>
      <c r="S54" s="510">
        <f>+'[4]2001Tab7'!R55</f>
        <v>0</v>
      </c>
      <c r="T54" s="510">
        <f>+'[4]2001Tab7'!S55</f>
        <v>0</v>
      </c>
      <c r="U54" s="783">
        <f t="shared" si="0"/>
        <v>1347</v>
      </c>
      <c r="V54" s="793"/>
      <c r="W54" s="790">
        <f>'[11]EOY comparison included'!E48</f>
        <v>1387</v>
      </c>
      <c r="X54" s="458">
        <f t="shared" si="4"/>
        <v>-40</v>
      </c>
      <c r="Y54" s="222">
        <f t="shared" si="2"/>
        <v>0</v>
      </c>
      <c r="Z54" s="222">
        <f t="shared" si="3"/>
        <v>-40</v>
      </c>
    </row>
    <row r="55" spans="1:26" ht="12.75">
      <c r="A55" s="33">
        <v>47</v>
      </c>
      <c r="B55" s="221" t="s">
        <v>456</v>
      </c>
      <c r="C55" s="779">
        <f>+'[4]2001Tab7'!B56</f>
        <v>21</v>
      </c>
      <c r="D55" s="510">
        <f>+'[4]2001Tab7'!C56</f>
        <v>55</v>
      </c>
      <c r="E55" s="510">
        <f>+'[4]2001Tab7'!D56</f>
        <v>277</v>
      </c>
      <c r="F55" s="510">
        <f>+'[4]2001Tab7'!E56</f>
        <v>307</v>
      </c>
      <c r="G55" s="510">
        <f>+'[4]2001Tab7'!F56</f>
        <v>300</v>
      </c>
      <c r="H55" s="510">
        <f>+'[4]2001Tab7'!G56</f>
        <v>292</v>
      </c>
      <c r="I55" s="510">
        <f>+'[4]2001Tab7'!H56</f>
        <v>336</v>
      </c>
      <c r="J55" s="510">
        <f>+'[4]2001Tab7'!I56</f>
        <v>284</v>
      </c>
      <c r="K55" s="510">
        <f>+'[4]2001Tab7'!J56</f>
        <v>248</v>
      </c>
      <c r="L55" s="510">
        <f>+'[4]2001Tab7'!K56</f>
        <v>304</v>
      </c>
      <c r="M55" s="774">
        <f>+'[4]2001Tab7'!L56</f>
        <v>325</v>
      </c>
      <c r="N55" s="771">
        <f>+'[4]2001Tab7'!M56</f>
        <v>220</v>
      </c>
      <c r="O55" s="510">
        <f>+'[4]2001Tab7'!N56</f>
        <v>264</v>
      </c>
      <c r="P55" s="510">
        <f>+'[4]2001Tab7'!O56</f>
        <v>295</v>
      </c>
      <c r="Q55" s="510">
        <f>+'[4]2001Tab7'!P56</f>
        <v>237</v>
      </c>
      <c r="R55" s="510">
        <f>+'[4]2001Tab7'!Q56</f>
        <v>0</v>
      </c>
      <c r="S55" s="510">
        <f>+'[4]2001Tab7'!R56</f>
        <v>0</v>
      </c>
      <c r="T55" s="510">
        <f>+'[4]2001Tab7'!S56</f>
        <v>17</v>
      </c>
      <c r="U55" s="783">
        <f t="shared" si="0"/>
        <v>3782</v>
      </c>
      <c r="V55" s="793"/>
      <c r="W55" s="790">
        <f>'[11]EOY comparison included'!E49</f>
        <v>3858</v>
      </c>
      <c r="X55" s="458">
        <f t="shared" si="4"/>
        <v>-76</v>
      </c>
      <c r="Y55" s="222">
        <f t="shared" si="2"/>
        <v>0</v>
      </c>
      <c r="Z55" s="222">
        <f t="shared" si="3"/>
        <v>-76</v>
      </c>
    </row>
    <row r="56" spans="1:26" ht="12.75">
      <c r="A56" s="33">
        <v>48</v>
      </c>
      <c r="B56" s="221" t="s">
        <v>569</v>
      </c>
      <c r="C56" s="779">
        <f>+'[4]2001Tab7'!B57</f>
        <v>48</v>
      </c>
      <c r="D56" s="510">
        <f>+'[4]2001Tab7'!C57</f>
        <v>36</v>
      </c>
      <c r="E56" s="510">
        <f>+'[4]2001Tab7'!D57</f>
        <v>454</v>
      </c>
      <c r="F56" s="510">
        <f>+'[4]2001Tab7'!E57</f>
        <v>490</v>
      </c>
      <c r="G56" s="510">
        <f>+'[4]2001Tab7'!F57</f>
        <v>523</v>
      </c>
      <c r="H56" s="510">
        <f>+'[4]2001Tab7'!G57</f>
        <v>515</v>
      </c>
      <c r="I56" s="510">
        <f>+'[4]2001Tab7'!H57</f>
        <v>495</v>
      </c>
      <c r="J56" s="510">
        <f>+'[4]2001Tab7'!I57</f>
        <v>500</v>
      </c>
      <c r="K56" s="510">
        <f>+'[4]2001Tab7'!J57</f>
        <v>507</v>
      </c>
      <c r="L56" s="510">
        <f>+'[4]2001Tab7'!K57</f>
        <v>517</v>
      </c>
      <c r="M56" s="774">
        <f>+'[4]2001Tab7'!L57</f>
        <v>479</v>
      </c>
      <c r="N56" s="771">
        <f>+'[4]2001Tab7'!M57</f>
        <v>508</v>
      </c>
      <c r="O56" s="510">
        <f>+'[4]2001Tab7'!N57</f>
        <v>398</v>
      </c>
      <c r="P56" s="510">
        <f>+'[4]2001Tab7'!O57</f>
        <v>292</v>
      </c>
      <c r="Q56" s="510">
        <f>+'[4]2001Tab7'!P57</f>
        <v>348</v>
      </c>
      <c r="R56" s="510">
        <f>+'[4]2001Tab7'!Q57</f>
        <v>0</v>
      </c>
      <c r="S56" s="510">
        <f>+'[4]2001Tab7'!R57</f>
        <v>0</v>
      </c>
      <c r="T56" s="510">
        <f>+'[4]2001Tab7'!S57</f>
        <v>0</v>
      </c>
      <c r="U56" s="783">
        <f t="shared" si="0"/>
        <v>6110</v>
      </c>
      <c r="V56" s="793"/>
      <c r="W56" s="790">
        <f>'[11]EOY comparison included'!E50</f>
        <v>6362</v>
      </c>
      <c r="X56" s="458">
        <f t="shared" si="4"/>
        <v>-252</v>
      </c>
      <c r="Y56" s="222">
        <f t="shared" si="2"/>
        <v>0</v>
      </c>
      <c r="Z56" s="222">
        <f t="shared" si="3"/>
        <v>-252</v>
      </c>
    </row>
    <row r="57" spans="1:26" ht="12.75">
      <c r="A57" s="33">
        <v>49</v>
      </c>
      <c r="B57" s="221" t="s">
        <v>457</v>
      </c>
      <c r="C57" s="779">
        <f>+'[4]2001Tab7'!B58</f>
        <v>97</v>
      </c>
      <c r="D57" s="510">
        <f>+'[4]2001Tab7'!C58</f>
        <v>169</v>
      </c>
      <c r="E57" s="510">
        <f>+'[4]2001Tab7'!D58</f>
        <v>1219</v>
      </c>
      <c r="F57" s="510">
        <f>+'[4]2001Tab7'!E58</f>
        <v>1251</v>
      </c>
      <c r="G57" s="510">
        <f>+'[4]2001Tab7'!F58</f>
        <v>1190</v>
      </c>
      <c r="H57" s="510">
        <f>+'[4]2001Tab7'!G58</f>
        <v>1257</v>
      </c>
      <c r="I57" s="510">
        <f>+'[4]2001Tab7'!H58</f>
        <v>1313</v>
      </c>
      <c r="J57" s="510">
        <f>+'[4]2001Tab7'!I58</f>
        <v>1243</v>
      </c>
      <c r="K57" s="510">
        <f>+'[4]2001Tab7'!J58</f>
        <v>1137</v>
      </c>
      <c r="L57" s="510">
        <f>+'[4]2001Tab7'!K58</f>
        <v>1279</v>
      </c>
      <c r="M57" s="774">
        <f>+'[4]2001Tab7'!L58</f>
        <v>1213</v>
      </c>
      <c r="N57" s="771">
        <f>+'[4]2001Tab7'!M58</f>
        <v>1184</v>
      </c>
      <c r="O57" s="510">
        <f>+'[4]2001Tab7'!N58</f>
        <v>972</v>
      </c>
      <c r="P57" s="510">
        <f>+'[4]2001Tab7'!O58</f>
        <v>923</v>
      </c>
      <c r="Q57" s="510">
        <f>+'[4]2001Tab7'!P58</f>
        <v>805</v>
      </c>
      <c r="R57" s="510">
        <f>+'[4]2001Tab7'!Q58</f>
        <v>0</v>
      </c>
      <c r="S57" s="510">
        <f>+'[4]2001Tab7'!R58</f>
        <v>0</v>
      </c>
      <c r="T57" s="510">
        <f>+'[4]2001Tab7'!S58</f>
        <v>103</v>
      </c>
      <c r="U57" s="783">
        <f t="shared" si="0"/>
        <v>15355</v>
      </c>
      <c r="V57" s="793"/>
      <c r="W57" s="790">
        <f>'[11]EOY comparison included'!E51</f>
        <v>15441</v>
      </c>
      <c r="X57" s="458">
        <f t="shared" si="4"/>
        <v>-86</v>
      </c>
      <c r="Y57" s="222">
        <f t="shared" si="2"/>
        <v>0</v>
      </c>
      <c r="Z57" s="222">
        <f t="shared" si="3"/>
        <v>-86</v>
      </c>
    </row>
    <row r="58" spans="1:26" ht="12.75">
      <c r="A58" s="47">
        <v>50</v>
      </c>
      <c r="B58" s="220" t="s">
        <v>458</v>
      </c>
      <c r="C58" s="780">
        <f>+'[4]2001Tab7'!B59</f>
        <v>51</v>
      </c>
      <c r="D58" s="511">
        <f>+'[4]2001Tab7'!C59</f>
        <v>60</v>
      </c>
      <c r="E58" s="511">
        <f>+'[4]2001Tab7'!D59</f>
        <v>588</v>
      </c>
      <c r="F58" s="511">
        <f>+'[4]2001Tab7'!E59</f>
        <v>650</v>
      </c>
      <c r="G58" s="511">
        <f>+'[4]2001Tab7'!F59</f>
        <v>648</v>
      </c>
      <c r="H58" s="511">
        <f>+'[4]2001Tab7'!G59</f>
        <v>623</v>
      </c>
      <c r="I58" s="511">
        <f>+'[4]2001Tab7'!H59</f>
        <v>715</v>
      </c>
      <c r="J58" s="511">
        <f>+'[4]2001Tab7'!I59</f>
        <v>633</v>
      </c>
      <c r="K58" s="511">
        <f>+'[4]2001Tab7'!J59</f>
        <v>573</v>
      </c>
      <c r="L58" s="511">
        <f>+'[4]2001Tab7'!K59</f>
        <v>722</v>
      </c>
      <c r="M58" s="775">
        <f>+'[4]2001Tab7'!L59</f>
        <v>745</v>
      </c>
      <c r="N58" s="772">
        <f>+'[4]2001Tab7'!M59</f>
        <v>702</v>
      </c>
      <c r="O58" s="511">
        <f>+'[4]2001Tab7'!N59</f>
        <v>571</v>
      </c>
      <c r="P58" s="511">
        <f>+'[4]2001Tab7'!O59</f>
        <v>629</v>
      </c>
      <c r="Q58" s="511">
        <f>+'[4]2001Tab7'!P59</f>
        <v>466</v>
      </c>
      <c r="R58" s="511">
        <f>+'[4]2001Tab7'!Q59</f>
        <v>0</v>
      </c>
      <c r="S58" s="511">
        <f>+'[4]2001Tab7'!R59</f>
        <v>0</v>
      </c>
      <c r="T58" s="511">
        <f>+'[4]2001Tab7'!S59</f>
        <v>44</v>
      </c>
      <c r="U58" s="784">
        <f t="shared" si="0"/>
        <v>8420</v>
      </c>
      <c r="V58" s="794"/>
      <c r="W58" s="791">
        <f>'[11]EOY comparison included'!E52</f>
        <v>8557</v>
      </c>
      <c r="X58" s="459">
        <f t="shared" si="4"/>
        <v>-137</v>
      </c>
      <c r="Y58" s="223">
        <f t="shared" si="2"/>
        <v>0</v>
      </c>
      <c r="Z58" s="223">
        <f t="shared" si="3"/>
        <v>-137</v>
      </c>
    </row>
    <row r="59" spans="1:26" ht="12.75">
      <c r="A59" s="33">
        <v>51</v>
      </c>
      <c r="B59" s="221" t="s">
        <v>459</v>
      </c>
      <c r="C59" s="779">
        <f>+'[4]2001Tab7'!B60</f>
        <v>39</v>
      </c>
      <c r="D59" s="510">
        <f>+'[4]2001Tab7'!C60</f>
        <v>68</v>
      </c>
      <c r="E59" s="510">
        <f>+'[4]2001Tab7'!D60</f>
        <v>681</v>
      </c>
      <c r="F59" s="510">
        <f>+'[4]2001Tab7'!E60</f>
        <v>775</v>
      </c>
      <c r="G59" s="510">
        <f>+'[4]2001Tab7'!F60</f>
        <v>786</v>
      </c>
      <c r="H59" s="510">
        <f>+'[4]2001Tab7'!G60</f>
        <v>863</v>
      </c>
      <c r="I59" s="510">
        <f>+'[4]2001Tab7'!H60</f>
        <v>925</v>
      </c>
      <c r="J59" s="510">
        <f>+'[4]2001Tab7'!I60</f>
        <v>768</v>
      </c>
      <c r="K59" s="510">
        <f>+'[4]2001Tab7'!J60</f>
        <v>796</v>
      </c>
      <c r="L59" s="510">
        <f>+'[4]2001Tab7'!K60</f>
        <v>940</v>
      </c>
      <c r="M59" s="774">
        <f>+'[4]2001Tab7'!L60</f>
        <v>802</v>
      </c>
      <c r="N59" s="771">
        <f>+'[4]2001Tab7'!M60</f>
        <v>921</v>
      </c>
      <c r="O59" s="510">
        <f>+'[4]2001Tab7'!N60</f>
        <v>663</v>
      </c>
      <c r="P59" s="510">
        <f>+'[4]2001Tab7'!O60</f>
        <v>637</v>
      </c>
      <c r="Q59" s="510">
        <f>+'[4]2001Tab7'!P60</f>
        <v>669</v>
      </c>
      <c r="R59" s="510">
        <f>+'[4]2001Tab7'!Q60</f>
        <v>0</v>
      </c>
      <c r="S59" s="510">
        <f>+'[4]2001Tab7'!R60</f>
        <v>0</v>
      </c>
      <c r="T59" s="510">
        <f>+'[4]2001Tab7'!S60</f>
        <v>0</v>
      </c>
      <c r="U59" s="783">
        <f t="shared" si="0"/>
        <v>10333</v>
      </c>
      <c r="V59" s="793"/>
      <c r="W59" s="790">
        <f>'[11]EOY comparison included'!E53</f>
        <v>10531</v>
      </c>
      <c r="X59" s="458">
        <f t="shared" si="4"/>
        <v>-198</v>
      </c>
      <c r="Y59" s="222">
        <f t="shared" si="2"/>
        <v>0</v>
      </c>
      <c r="Z59" s="222">
        <f t="shared" si="3"/>
        <v>-198</v>
      </c>
    </row>
    <row r="60" spans="1:26" ht="12.75">
      <c r="A60" s="33">
        <v>52</v>
      </c>
      <c r="B60" s="221" t="s">
        <v>460</v>
      </c>
      <c r="C60" s="779">
        <f>+'[4]2001Tab7'!B61</f>
        <v>0</v>
      </c>
      <c r="D60" s="510">
        <f>+'[4]2001Tab7'!C61</f>
        <v>304</v>
      </c>
      <c r="E60" s="510">
        <f>+'[4]2001Tab7'!D61</f>
        <v>2205</v>
      </c>
      <c r="F60" s="510">
        <f>+'[4]2001Tab7'!E61</f>
        <v>2898</v>
      </c>
      <c r="G60" s="510">
        <f>+'[4]2001Tab7'!F61</f>
        <v>2302</v>
      </c>
      <c r="H60" s="510">
        <f>+'[4]2001Tab7'!G61</f>
        <v>2443</v>
      </c>
      <c r="I60" s="510">
        <f>+'[4]2001Tab7'!H61</f>
        <v>2535</v>
      </c>
      <c r="J60" s="510">
        <f>+'[4]2001Tab7'!I61</f>
        <v>2559</v>
      </c>
      <c r="K60" s="510">
        <f>+'[4]2001Tab7'!J61</f>
        <v>2644</v>
      </c>
      <c r="L60" s="510">
        <f>+'[4]2001Tab7'!K61</f>
        <v>2671</v>
      </c>
      <c r="M60" s="774">
        <f>+'[4]2001Tab7'!L61</f>
        <v>2657</v>
      </c>
      <c r="N60" s="771">
        <f>+'[4]2001Tab7'!M61</f>
        <v>2938</v>
      </c>
      <c r="O60" s="510">
        <f>+'[4]2001Tab7'!N61</f>
        <v>2437</v>
      </c>
      <c r="P60" s="510">
        <f>+'[4]2001Tab7'!O61</f>
        <v>2294</v>
      </c>
      <c r="Q60" s="510">
        <f>+'[4]2001Tab7'!P61</f>
        <v>1983</v>
      </c>
      <c r="R60" s="510">
        <f>+'[4]2001Tab7'!Q61</f>
        <v>0</v>
      </c>
      <c r="S60" s="510">
        <f>+'[4]2001Tab7'!R61</f>
        <v>0</v>
      </c>
      <c r="T60" s="510">
        <f>+'[4]2001Tab7'!S61</f>
        <v>0</v>
      </c>
      <c r="U60" s="783">
        <f t="shared" si="0"/>
        <v>32870</v>
      </c>
      <c r="V60" s="793"/>
      <c r="W60" s="790">
        <f>'[11]EOY comparison included'!E54</f>
        <v>32474</v>
      </c>
      <c r="X60" s="458">
        <f t="shared" si="4"/>
        <v>396</v>
      </c>
      <c r="Y60" s="222">
        <f t="shared" si="2"/>
        <v>396</v>
      </c>
      <c r="Z60" s="222">
        <f t="shared" si="3"/>
        <v>0</v>
      </c>
    </row>
    <row r="61" spans="1:26" ht="12.75">
      <c r="A61" s="33">
        <v>53</v>
      </c>
      <c r="B61" s="221" t="s">
        <v>461</v>
      </c>
      <c r="C61" s="779">
        <f>+'[4]2001Tab7'!B62</f>
        <v>0</v>
      </c>
      <c r="D61" s="510">
        <f>+'[4]2001Tab7'!C62</f>
        <v>89</v>
      </c>
      <c r="E61" s="510">
        <f>+'[4]2001Tab7'!D62</f>
        <v>1297</v>
      </c>
      <c r="F61" s="510">
        <f>+'[4]2001Tab7'!E62</f>
        <v>1502</v>
      </c>
      <c r="G61" s="510">
        <f>+'[4]2001Tab7'!F62</f>
        <v>1395</v>
      </c>
      <c r="H61" s="510">
        <f>+'[4]2001Tab7'!G62</f>
        <v>1443</v>
      </c>
      <c r="I61" s="510">
        <f>+'[4]2001Tab7'!H62</f>
        <v>1678</v>
      </c>
      <c r="J61" s="510">
        <f>+'[4]2001Tab7'!I62</f>
        <v>1269</v>
      </c>
      <c r="K61" s="510">
        <f>+'[4]2001Tab7'!J62</f>
        <v>1358</v>
      </c>
      <c r="L61" s="510">
        <f>+'[4]2001Tab7'!K62</f>
        <v>1370</v>
      </c>
      <c r="M61" s="774">
        <f>+'[4]2001Tab7'!L62</f>
        <v>1397</v>
      </c>
      <c r="N61" s="771">
        <f>+'[4]2001Tab7'!M62</f>
        <v>1623</v>
      </c>
      <c r="O61" s="510">
        <f>+'[4]2001Tab7'!N62</f>
        <v>1266</v>
      </c>
      <c r="P61" s="510">
        <f>+'[4]2001Tab7'!O62</f>
        <v>1167</v>
      </c>
      <c r="Q61" s="510">
        <f>+'[4]2001Tab7'!P62</f>
        <v>1057</v>
      </c>
      <c r="R61" s="510">
        <f>+'[4]2001Tab7'!Q62</f>
        <v>0</v>
      </c>
      <c r="S61" s="510">
        <f>+'[4]2001Tab7'!R62</f>
        <v>0</v>
      </c>
      <c r="T61" s="510">
        <f>+'[4]2001Tab7'!S62</f>
        <v>0</v>
      </c>
      <c r="U61" s="783">
        <f t="shared" si="0"/>
        <v>17911</v>
      </c>
      <c r="V61" s="793"/>
      <c r="W61" s="790">
        <f>'[11]EOY comparison included'!E55</f>
        <v>18103</v>
      </c>
      <c r="X61" s="458">
        <f t="shared" si="4"/>
        <v>-192</v>
      </c>
      <c r="Y61" s="222">
        <f t="shared" si="2"/>
        <v>0</v>
      </c>
      <c r="Z61" s="222">
        <f t="shared" si="3"/>
        <v>-192</v>
      </c>
    </row>
    <row r="62" spans="1:26" ht="12.75">
      <c r="A62" s="33">
        <v>54</v>
      </c>
      <c r="B62" s="221" t="s">
        <v>462</v>
      </c>
      <c r="C62" s="779">
        <f>+'[4]2001Tab7'!B63</f>
        <v>0</v>
      </c>
      <c r="D62" s="510">
        <f>+'[4]2001Tab7'!C63</f>
        <v>12</v>
      </c>
      <c r="E62" s="510">
        <f>+'[4]2001Tab7'!D63</f>
        <v>72</v>
      </c>
      <c r="F62" s="510">
        <f>+'[4]2001Tab7'!E63</f>
        <v>57</v>
      </c>
      <c r="G62" s="510">
        <f>+'[4]2001Tab7'!F63</f>
        <v>63</v>
      </c>
      <c r="H62" s="510">
        <f>+'[4]2001Tab7'!G63</f>
        <v>58</v>
      </c>
      <c r="I62" s="510">
        <f>+'[4]2001Tab7'!H63</f>
        <v>80</v>
      </c>
      <c r="J62" s="510">
        <f>+'[4]2001Tab7'!I63</f>
        <v>64</v>
      </c>
      <c r="K62" s="510">
        <f>+'[4]2001Tab7'!J63</f>
        <v>98</v>
      </c>
      <c r="L62" s="510">
        <f>+'[4]2001Tab7'!K63</f>
        <v>86</v>
      </c>
      <c r="M62" s="774">
        <f>+'[4]2001Tab7'!L63</f>
        <v>95</v>
      </c>
      <c r="N62" s="771">
        <f>+'[4]2001Tab7'!M63</f>
        <v>56</v>
      </c>
      <c r="O62" s="510">
        <f>+'[4]2001Tab7'!N63</f>
        <v>75</v>
      </c>
      <c r="P62" s="510">
        <f>+'[4]2001Tab7'!O63</f>
        <v>65</v>
      </c>
      <c r="Q62" s="510">
        <f>+'[4]2001Tab7'!P63</f>
        <v>66</v>
      </c>
      <c r="R62" s="510">
        <f>+'[4]2001Tab7'!Q63</f>
        <v>0</v>
      </c>
      <c r="S62" s="510">
        <f>+'[4]2001Tab7'!R63</f>
        <v>0</v>
      </c>
      <c r="T62" s="510">
        <f>+'[4]2001Tab7'!S63</f>
        <v>7</v>
      </c>
      <c r="U62" s="783">
        <f t="shared" si="0"/>
        <v>954</v>
      </c>
      <c r="V62" s="793"/>
      <c r="W62" s="790">
        <f>'[11]EOY comparison included'!E56</f>
        <v>1032</v>
      </c>
      <c r="X62" s="458">
        <f t="shared" si="4"/>
        <v>-78</v>
      </c>
      <c r="Y62" s="222">
        <f t="shared" si="2"/>
        <v>0</v>
      </c>
      <c r="Z62" s="222">
        <f t="shared" si="3"/>
        <v>-78</v>
      </c>
    </row>
    <row r="63" spans="1:26" ht="12.75">
      <c r="A63" s="47">
        <v>55</v>
      </c>
      <c r="B63" s="220" t="s">
        <v>463</v>
      </c>
      <c r="C63" s="780">
        <f>+'[4]2001Tab7'!B64</f>
        <v>77</v>
      </c>
      <c r="D63" s="511">
        <f>+'[4]2001Tab7'!C64</f>
        <v>169</v>
      </c>
      <c r="E63" s="511">
        <f>+'[4]2001Tab7'!D64</f>
        <v>1406</v>
      </c>
      <c r="F63" s="511">
        <f>+'[4]2001Tab7'!E64</f>
        <v>1660</v>
      </c>
      <c r="G63" s="511">
        <f>+'[4]2001Tab7'!F64</f>
        <v>1491</v>
      </c>
      <c r="H63" s="511">
        <f>+'[4]2001Tab7'!G64</f>
        <v>1464</v>
      </c>
      <c r="I63" s="511">
        <f>+'[4]2001Tab7'!H64</f>
        <v>1502</v>
      </c>
      <c r="J63" s="511">
        <f>+'[4]2001Tab7'!I64</f>
        <v>1554</v>
      </c>
      <c r="K63" s="511">
        <f>+'[4]2001Tab7'!J64</f>
        <v>1476</v>
      </c>
      <c r="L63" s="511">
        <f>+'[4]2001Tab7'!K64</f>
        <v>1574</v>
      </c>
      <c r="M63" s="775">
        <f>+'[4]2001Tab7'!L64</f>
        <v>1641</v>
      </c>
      <c r="N63" s="772">
        <f>+'[4]2001Tab7'!M64</f>
        <v>1643</v>
      </c>
      <c r="O63" s="511">
        <f>+'[4]2001Tab7'!N64</f>
        <v>1278</v>
      </c>
      <c r="P63" s="511">
        <f>+'[4]2001Tab7'!O64</f>
        <v>1219</v>
      </c>
      <c r="Q63" s="511">
        <f>+'[4]2001Tab7'!P64</f>
        <v>1050</v>
      </c>
      <c r="R63" s="511">
        <f>+'[4]2001Tab7'!Q64</f>
        <v>0</v>
      </c>
      <c r="S63" s="511">
        <f>+'[4]2001Tab7'!R64</f>
        <v>0</v>
      </c>
      <c r="T63" s="511">
        <f>+'[4]2001Tab7'!S64</f>
        <v>81</v>
      </c>
      <c r="U63" s="784">
        <f t="shared" si="0"/>
        <v>19285</v>
      </c>
      <c r="V63" s="794"/>
      <c r="W63" s="791">
        <f>'[11]EOY comparison included'!E57</f>
        <v>19623</v>
      </c>
      <c r="X63" s="459">
        <f t="shared" si="4"/>
        <v>-338</v>
      </c>
      <c r="Y63" s="223">
        <f t="shared" si="2"/>
        <v>0</v>
      </c>
      <c r="Z63" s="223">
        <f t="shared" si="3"/>
        <v>-338</v>
      </c>
    </row>
    <row r="64" spans="1:26" ht="12.75">
      <c r="A64" s="33">
        <v>56</v>
      </c>
      <c r="B64" s="221" t="s">
        <v>464</v>
      </c>
      <c r="C64" s="779">
        <f>+'[4]2001Tab7'!B65</f>
        <v>0</v>
      </c>
      <c r="D64" s="510">
        <f>+'[4]2001Tab7'!C65</f>
        <v>28</v>
      </c>
      <c r="E64" s="510">
        <f>+'[4]2001Tab7'!D65</f>
        <v>278</v>
      </c>
      <c r="F64" s="510">
        <f>+'[4]2001Tab7'!E65</f>
        <v>290</v>
      </c>
      <c r="G64" s="510">
        <f>+'[4]2001Tab7'!F65</f>
        <v>250</v>
      </c>
      <c r="H64" s="510">
        <f>+'[4]2001Tab7'!G65</f>
        <v>293</v>
      </c>
      <c r="I64" s="510">
        <f>+'[4]2001Tab7'!H65</f>
        <v>307</v>
      </c>
      <c r="J64" s="510">
        <f>+'[4]2001Tab7'!I65</f>
        <v>289</v>
      </c>
      <c r="K64" s="510">
        <f>+'[4]2001Tab7'!J65</f>
        <v>265</v>
      </c>
      <c r="L64" s="510">
        <f>+'[4]2001Tab7'!K65</f>
        <v>282</v>
      </c>
      <c r="M64" s="774">
        <f>+'[4]2001Tab7'!L65</f>
        <v>280</v>
      </c>
      <c r="N64" s="771">
        <f>+'[4]2001Tab7'!M65</f>
        <v>289</v>
      </c>
      <c r="O64" s="510">
        <f>+'[4]2001Tab7'!N65</f>
        <v>199</v>
      </c>
      <c r="P64" s="510">
        <f>+'[4]2001Tab7'!O65</f>
        <v>209</v>
      </c>
      <c r="Q64" s="510">
        <f>+'[4]2001Tab7'!P65</f>
        <v>229</v>
      </c>
      <c r="R64" s="510">
        <f>+'[4]2001Tab7'!Q65</f>
        <v>0</v>
      </c>
      <c r="S64" s="510">
        <f>+'[4]2001Tab7'!R65</f>
        <v>0</v>
      </c>
      <c r="T64" s="510">
        <f>+'[4]2001Tab7'!S65</f>
        <v>7</v>
      </c>
      <c r="U64" s="783">
        <f t="shared" si="0"/>
        <v>3495</v>
      </c>
      <c r="V64" s="793"/>
      <c r="W64" s="790">
        <f>'[11]EOY comparison included'!E58</f>
        <v>3535</v>
      </c>
      <c r="X64" s="458">
        <f t="shared" si="4"/>
        <v>-40</v>
      </c>
      <c r="Y64" s="222">
        <f t="shared" si="2"/>
        <v>0</v>
      </c>
      <c r="Z64" s="222">
        <f t="shared" si="3"/>
        <v>-40</v>
      </c>
    </row>
    <row r="65" spans="1:26" ht="12.75">
      <c r="A65" s="33">
        <v>57</v>
      </c>
      <c r="B65" s="221" t="s">
        <v>465</v>
      </c>
      <c r="C65" s="779">
        <f>+'[4]2001Tab7'!B66</f>
        <v>47</v>
      </c>
      <c r="D65" s="510">
        <f>+'[4]2001Tab7'!C66</f>
        <v>98</v>
      </c>
      <c r="E65" s="510">
        <f>+'[4]2001Tab7'!D66</f>
        <v>585</v>
      </c>
      <c r="F65" s="510">
        <f>+'[4]2001Tab7'!E66</f>
        <v>632</v>
      </c>
      <c r="G65" s="510">
        <f>+'[4]2001Tab7'!F66</f>
        <v>616</v>
      </c>
      <c r="H65" s="510">
        <f>+'[4]2001Tab7'!G66</f>
        <v>665</v>
      </c>
      <c r="I65" s="510">
        <f>+'[4]2001Tab7'!H66</f>
        <v>691</v>
      </c>
      <c r="J65" s="510">
        <f>+'[4]2001Tab7'!I66</f>
        <v>732</v>
      </c>
      <c r="K65" s="510">
        <f>+'[4]2001Tab7'!J66</f>
        <v>736</v>
      </c>
      <c r="L65" s="510">
        <f>+'[4]2001Tab7'!K66</f>
        <v>683</v>
      </c>
      <c r="M65" s="774">
        <f>+'[4]2001Tab7'!L66</f>
        <v>714</v>
      </c>
      <c r="N65" s="771">
        <f>+'[4]2001Tab7'!M66</f>
        <v>779</v>
      </c>
      <c r="O65" s="510">
        <f>+'[4]2001Tab7'!N66</f>
        <v>597</v>
      </c>
      <c r="P65" s="510">
        <f>+'[4]2001Tab7'!O66</f>
        <v>542</v>
      </c>
      <c r="Q65" s="510">
        <f>+'[4]2001Tab7'!P66</f>
        <v>510</v>
      </c>
      <c r="R65" s="510">
        <f>+'[4]2001Tab7'!Q66</f>
        <v>0</v>
      </c>
      <c r="S65" s="510">
        <f>+'[4]2001Tab7'!R66</f>
        <v>0</v>
      </c>
      <c r="T65" s="510">
        <f>+'[4]2001Tab7'!S66</f>
        <v>60</v>
      </c>
      <c r="U65" s="783">
        <f t="shared" si="0"/>
        <v>8687</v>
      </c>
      <c r="V65" s="793"/>
      <c r="W65" s="790">
        <f>'[11]EOY comparison included'!E59</f>
        <v>8869</v>
      </c>
      <c r="X65" s="458">
        <f t="shared" si="4"/>
        <v>-182</v>
      </c>
      <c r="Y65" s="222">
        <f t="shared" si="2"/>
        <v>0</v>
      </c>
      <c r="Z65" s="222">
        <f t="shared" si="3"/>
        <v>-182</v>
      </c>
    </row>
    <row r="66" spans="1:26" ht="12.75">
      <c r="A66" s="33">
        <v>58</v>
      </c>
      <c r="B66" s="221" t="s">
        <v>466</v>
      </c>
      <c r="C66" s="779">
        <f>+'[4]2001Tab7'!B67</f>
        <v>45</v>
      </c>
      <c r="D66" s="510">
        <f>+'[4]2001Tab7'!C67</f>
        <v>136</v>
      </c>
      <c r="E66" s="510">
        <f>+'[4]2001Tab7'!D67</f>
        <v>915</v>
      </c>
      <c r="F66" s="510">
        <f>+'[4]2001Tab7'!E67</f>
        <v>874</v>
      </c>
      <c r="G66" s="510">
        <f>+'[4]2001Tab7'!F67</f>
        <v>873</v>
      </c>
      <c r="H66" s="510">
        <f>+'[4]2001Tab7'!G67</f>
        <v>797</v>
      </c>
      <c r="I66" s="510">
        <f>+'[4]2001Tab7'!H67</f>
        <v>800</v>
      </c>
      <c r="J66" s="510">
        <f>+'[4]2001Tab7'!I67</f>
        <v>795</v>
      </c>
      <c r="K66" s="510">
        <f>+'[4]2001Tab7'!J67</f>
        <v>772</v>
      </c>
      <c r="L66" s="510">
        <f>+'[4]2001Tab7'!K67</f>
        <v>798</v>
      </c>
      <c r="M66" s="774">
        <f>+'[4]2001Tab7'!L67</f>
        <v>742</v>
      </c>
      <c r="N66" s="771">
        <f>+'[4]2001Tab7'!M67</f>
        <v>636</v>
      </c>
      <c r="O66" s="510">
        <f>+'[4]2001Tab7'!N67</f>
        <v>573</v>
      </c>
      <c r="P66" s="510">
        <f>+'[4]2001Tab7'!O67</f>
        <v>511</v>
      </c>
      <c r="Q66" s="510">
        <f>+'[4]2001Tab7'!P67</f>
        <v>461</v>
      </c>
      <c r="R66" s="510">
        <f>+'[4]2001Tab7'!Q67</f>
        <v>0</v>
      </c>
      <c r="S66" s="510">
        <f>+'[4]2001Tab7'!R67</f>
        <v>0</v>
      </c>
      <c r="T66" s="510">
        <f>+'[4]2001Tab7'!S67</f>
        <v>64</v>
      </c>
      <c r="U66" s="783">
        <f t="shared" si="0"/>
        <v>9792</v>
      </c>
      <c r="V66" s="793"/>
      <c r="W66" s="790">
        <f>'[11]EOY comparison included'!E60</f>
        <v>10087</v>
      </c>
      <c r="X66" s="458">
        <f t="shared" si="4"/>
        <v>-295</v>
      </c>
      <c r="Y66" s="222">
        <f t="shared" si="2"/>
        <v>0</v>
      </c>
      <c r="Z66" s="222">
        <f t="shared" si="3"/>
        <v>-295</v>
      </c>
    </row>
    <row r="67" spans="1:26" ht="12.75">
      <c r="A67" s="33">
        <v>59</v>
      </c>
      <c r="B67" s="221" t="s">
        <v>467</v>
      </c>
      <c r="C67" s="779">
        <f>+'[4]2001Tab7'!B68</f>
        <v>0</v>
      </c>
      <c r="D67" s="510">
        <f>+'[4]2001Tab7'!C68</f>
        <v>60</v>
      </c>
      <c r="E67" s="510">
        <f>+'[4]2001Tab7'!D68</f>
        <v>342</v>
      </c>
      <c r="F67" s="510">
        <f>+'[4]2001Tab7'!E68</f>
        <v>375</v>
      </c>
      <c r="G67" s="510">
        <f>+'[4]2001Tab7'!F68</f>
        <v>347</v>
      </c>
      <c r="H67" s="510">
        <f>+'[4]2001Tab7'!G68</f>
        <v>364</v>
      </c>
      <c r="I67" s="510">
        <f>+'[4]2001Tab7'!H68</f>
        <v>377</v>
      </c>
      <c r="J67" s="510">
        <f>+'[4]2001Tab7'!I68</f>
        <v>332</v>
      </c>
      <c r="K67" s="510">
        <f>+'[4]2001Tab7'!J68</f>
        <v>343</v>
      </c>
      <c r="L67" s="510">
        <f>+'[4]2001Tab7'!K68</f>
        <v>355</v>
      </c>
      <c r="M67" s="774">
        <f>+'[4]2001Tab7'!L68</f>
        <v>363</v>
      </c>
      <c r="N67" s="771">
        <f>+'[4]2001Tab7'!M68</f>
        <v>279</v>
      </c>
      <c r="O67" s="510">
        <f>+'[4]2001Tab7'!N68</f>
        <v>336</v>
      </c>
      <c r="P67" s="510">
        <f>+'[4]2001Tab7'!O68</f>
        <v>315</v>
      </c>
      <c r="Q67" s="510">
        <f>+'[4]2001Tab7'!P68</f>
        <v>286</v>
      </c>
      <c r="R67" s="510">
        <f>+'[4]2001Tab7'!Q68</f>
        <v>0</v>
      </c>
      <c r="S67" s="510">
        <f>+'[4]2001Tab7'!R68</f>
        <v>0</v>
      </c>
      <c r="T67" s="510">
        <f>+'[4]2001Tab7'!S68</f>
        <v>21</v>
      </c>
      <c r="U67" s="783">
        <f t="shared" si="0"/>
        <v>4495</v>
      </c>
      <c r="V67" s="793"/>
      <c r="W67" s="790">
        <f>'[11]EOY comparison included'!E61</f>
        <v>4585</v>
      </c>
      <c r="X67" s="458">
        <f t="shared" si="4"/>
        <v>-90</v>
      </c>
      <c r="Y67" s="222">
        <f t="shared" si="2"/>
        <v>0</v>
      </c>
      <c r="Z67" s="222">
        <f t="shared" si="3"/>
        <v>-90</v>
      </c>
    </row>
    <row r="68" spans="1:26" ht="12.75">
      <c r="A68" s="47">
        <v>60</v>
      </c>
      <c r="B68" s="220" t="s">
        <v>468</v>
      </c>
      <c r="C68" s="780">
        <f>+'[4]2001Tab7'!B69</f>
        <v>0</v>
      </c>
      <c r="D68" s="511">
        <f>+'[4]2001Tab7'!C69</f>
        <v>50</v>
      </c>
      <c r="E68" s="511">
        <f>+'[4]2001Tab7'!D69</f>
        <v>631</v>
      </c>
      <c r="F68" s="511">
        <f>+'[4]2001Tab7'!E69</f>
        <v>576</v>
      </c>
      <c r="G68" s="511">
        <f>+'[4]2001Tab7'!F69</f>
        <v>571</v>
      </c>
      <c r="H68" s="511">
        <f>+'[4]2001Tab7'!G69</f>
        <v>549</v>
      </c>
      <c r="I68" s="511">
        <f>+'[4]2001Tab7'!H69</f>
        <v>601</v>
      </c>
      <c r="J68" s="511">
        <f>+'[4]2001Tab7'!I69</f>
        <v>566</v>
      </c>
      <c r="K68" s="511">
        <f>+'[4]2001Tab7'!J69</f>
        <v>527</v>
      </c>
      <c r="L68" s="511">
        <f>+'[4]2001Tab7'!K69</f>
        <v>693</v>
      </c>
      <c r="M68" s="775">
        <f>+'[4]2001Tab7'!L69</f>
        <v>625</v>
      </c>
      <c r="N68" s="772">
        <f>+'[4]2001Tab7'!M69</f>
        <v>620</v>
      </c>
      <c r="O68" s="511">
        <f>+'[4]2001Tab7'!N69</f>
        <v>577</v>
      </c>
      <c r="P68" s="511">
        <f>+'[4]2001Tab7'!O69</f>
        <v>504</v>
      </c>
      <c r="Q68" s="511">
        <f>+'[4]2001Tab7'!P69</f>
        <v>440</v>
      </c>
      <c r="R68" s="511">
        <f>+'[4]2001Tab7'!Q69</f>
        <v>0</v>
      </c>
      <c r="S68" s="511">
        <f>+'[4]2001Tab7'!R69</f>
        <v>0</v>
      </c>
      <c r="T68" s="511">
        <f>+'[4]2001Tab7'!S69</f>
        <v>33</v>
      </c>
      <c r="U68" s="784">
        <f t="shared" si="0"/>
        <v>7563</v>
      </c>
      <c r="V68" s="794"/>
      <c r="W68" s="791">
        <f>'[11]EOY comparison included'!E62</f>
        <v>7547</v>
      </c>
      <c r="X68" s="459">
        <f t="shared" si="4"/>
        <v>16</v>
      </c>
      <c r="Y68" s="223">
        <f t="shared" si="2"/>
        <v>16</v>
      </c>
      <c r="Z68" s="223">
        <f t="shared" si="3"/>
        <v>0</v>
      </c>
    </row>
    <row r="69" spans="1:26" ht="12.75">
      <c r="A69" s="33">
        <v>61</v>
      </c>
      <c r="B69" s="221" t="s">
        <v>469</v>
      </c>
      <c r="C69" s="779">
        <f>+'[4]2001Tab7'!B70</f>
        <v>0</v>
      </c>
      <c r="D69" s="510">
        <f>+'[4]2001Tab7'!C70</f>
        <v>0</v>
      </c>
      <c r="E69" s="510">
        <f>+'[4]2001Tab7'!D70</f>
        <v>256</v>
      </c>
      <c r="F69" s="510">
        <f>+'[4]2001Tab7'!E70</f>
        <v>278</v>
      </c>
      <c r="G69" s="510">
        <f>+'[4]2001Tab7'!F70</f>
        <v>306</v>
      </c>
      <c r="H69" s="510">
        <f>+'[4]2001Tab7'!G70</f>
        <v>247</v>
      </c>
      <c r="I69" s="510">
        <f>+'[4]2001Tab7'!H70</f>
        <v>296</v>
      </c>
      <c r="J69" s="510">
        <f>+'[4]2001Tab7'!I70</f>
        <v>256</v>
      </c>
      <c r="K69" s="510">
        <f>+'[4]2001Tab7'!J70</f>
        <v>324</v>
      </c>
      <c r="L69" s="510">
        <f>+'[4]2001Tab7'!K70</f>
        <v>297</v>
      </c>
      <c r="M69" s="774">
        <f>+'[4]2001Tab7'!L70</f>
        <v>312</v>
      </c>
      <c r="N69" s="771">
        <f>+'[4]2001Tab7'!M70</f>
        <v>275</v>
      </c>
      <c r="O69" s="510">
        <f>+'[4]2001Tab7'!N70</f>
        <v>276</v>
      </c>
      <c r="P69" s="510">
        <f>+'[4]2001Tab7'!O70</f>
        <v>245</v>
      </c>
      <c r="Q69" s="510">
        <f>+'[4]2001Tab7'!P70</f>
        <v>260</v>
      </c>
      <c r="R69" s="510">
        <f>+'[4]2001Tab7'!Q70</f>
        <v>0</v>
      </c>
      <c r="S69" s="510">
        <f>+'[4]2001Tab7'!R70</f>
        <v>0</v>
      </c>
      <c r="T69" s="510">
        <f>+'[4]2001Tab7'!S70</f>
        <v>21</v>
      </c>
      <c r="U69" s="783">
        <f t="shared" si="0"/>
        <v>3649</v>
      </c>
      <c r="V69" s="793"/>
      <c r="W69" s="790">
        <f>'[11]EOY comparison included'!E63</f>
        <v>3745</v>
      </c>
      <c r="X69" s="458">
        <f t="shared" si="4"/>
        <v>-96</v>
      </c>
      <c r="Y69" s="222">
        <f t="shared" si="2"/>
        <v>0</v>
      </c>
      <c r="Z69" s="222">
        <f t="shared" si="3"/>
        <v>-96</v>
      </c>
    </row>
    <row r="70" spans="1:26" ht="12.75">
      <c r="A70" s="33">
        <v>62</v>
      </c>
      <c r="B70" s="221" t="s">
        <v>470</v>
      </c>
      <c r="C70" s="779">
        <f>+'[4]2001Tab7'!B71</f>
        <v>18</v>
      </c>
      <c r="D70" s="510">
        <f>+'[4]2001Tab7'!C71</f>
        <v>38</v>
      </c>
      <c r="E70" s="510">
        <f>+'[4]2001Tab7'!D71</f>
        <v>184</v>
      </c>
      <c r="F70" s="510">
        <f>+'[4]2001Tab7'!E71</f>
        <v>160</v>
      </c>
      <c r="G70" s="510">
        <f>+'[4]2001Tab7'!F71</f>
        <v>186</v>
      </c>
      <c r="H70" s="510">
        <f>+'[4]2001Tab7'!G71</f>
        <v>219</v>
      </c>
      <c r="I70" s="510">
        <f>+'[4]2001Tab7'!H71</f>
        <v>194</v>
      </c>
      <c r="J70" s="510">
        <f>+'[4]2001Tab7'!I71</f>
        <v>212</v>
      </c>
      <c r="K70" s="510">
        <f>+'[4]2001Tab7'!J71</f>
        <v>196</v>
      </c>
      <c r="L70" s="510">
        <f>+'[4]2001Tab7'!K71</f>
        <v>212</v>
      </c>
      <c r="M70" s="774">
        <f>+'[4]2001Tab7'!L71</f>
        <v>184</v>
      </c>
      <c r="N70" s="771">
        <f>+'[4]2001Tab7'!M71</f>
        <v>164</v>
      </c>
      <c r="O70" s="510">
        <f>+'[4]2001Tab7'!N71</f>
        <v>156</v>
      </c>
      <c r="P70" s="510">
        <f>+'[4]2001Tab7'!O71</f>
        <v>195</v>
      </c>
      <c r="Q70" s="510">
        <f>+'[4]2001Tab7'!P71</f>
        <v>141</v>
      </c>
      <c r="R70" s="510">
        <f>+'[4]2001Tab7'!Q71</f>
        <v>0</v>
      </c>
      <c r="S70" s="510">
        <f>+'[4]2001Tab7'!R71</f>
        <v>0</v>
      </c>
      <c r="T70" s="510">
        <f>+'[4]2001Tab7'!S71</f>
        <v>23</v>
      </c>
      <c r="U70" s="783">
        <f t="shared" si="0"/>
        <v>2482</v>
      </c>
      <c r="V70" s="793"/>
      <c r="W70" s="790">
        <f>'[11]EOY comparison included'!E64</f>
        <v>2485</v>
      </c>
      <c r="X70" s="458">
        <f t="shared" si="4"/>
        <v>-3</v>
      </c>
      <c r="Y70" s="222">
        <f t="shared" si="2"/>
        <v>0</v>
      </c>
      <c r="Z70" s="222">
        <f t="shared" si="3"/>
        <v>-3</v>
      </c>
    </row>
    <row r="71" spans="1:26" ht="12.75">
      <c r="A71" s="33">
        <v>63</v>
      </c>
      <c r="B71" s="221" t="s">
        <v>471</v>
      </c>
      <c r="C71" s="779">
        <f>+'[4]2001Tab7'!B72</f>
        <v>0</v>
      </c>
      <c r="D71" s="510">
        <f>+'[4]2001Tab7'!C72</f>
        <v>14</v>
      </c>
      <c r="E71" s="510">
        <f>+'[4]2001Tab7'!D72</f>
        <v>159</v>
      </c>
      <c r="F71" s="510">
        <f>+'[4]2001Tab7'!E72</f>
        <v>166</v>
      </c>
      <c r="G71" s="510">
        <f>+'[4]2001Tab7'!F72</f>
        <v>176</v>
      </c>
      <c r="H71" s="510">
        <f>+'[4]2001Tab7'!G72</f>
        <v>195</v>
      </c>
      <c r="I71" s="510">
        <f>+'[4]2001Tab7'!H72</f>
        <v>169</v>
      </c>
      <c r="J71" s="510">
        <f>+'[4]2001Tab7'!I72</f>
        <v>177</v>
      </c>
      <c r="K71" s="510">
        <f>+'[4]2001Tab7'!J72</f>
        <v>172</v>
      </c>
      <c r="L71" s="510">
        <f>+'[4]2001Tab7'!K72</f>
        <v>186</v>
      </c>
      <c r="M71" s="774">
        <f>+'[4]2001Tab7'!L72</f>
        <v>173</v>
      </c>
      <c r="N71" s="771">
        <f>+'[4]2001Tab7'!M72</f>
        <v>174</v>
      </c>
      <c r="O71" s="510">
        <f>+'[4]2001Tab7'!N72</f>
        <v>175</v>
      </c>
      <c r="P71" s="510">
        <f>+'[4]2001Tab7'!O72</f>
        <v>143</v>
      </c>
      <c r="Q71" s="510">
        <f>+'[4]2001Tab7'!P72</f>
        <v>130</v>
      </c>
      <c r="R71" s="510">
        <f>+'[4]2001Tab7'!Q72</f>
        <v>0</v>
      </c>
      <c r="S71" s="510">
        <f>+'[4]2001Tab7'!R72</f>
        <v>0</v>
      </c>
      <c r="T71" s="510">
        <f>+'[4]2001Tab7'!S72</f>
        <v>0</v>
      </c>
      <c r="U71" s="783">
        <f t="shared" si="0"/>
        <v>2209</v>
      </c>
      <c r="V71" s="793"/>
      <c r="W71" s="790">
        <f>'[11]EOY comparison included'!E65</f>
        <v>2192</v>
      </c>
      <c r="X71" s="458">
        <f t="shared" si="4"/>
        <v>17</v>
      </c>
      <c r="Y71" s="222">
        <f t="shared" si="2"/>
        <v>17</v>
      </c>
      <c r="Z71" s="222">
        <f t="shared" si="3"/>
        <v>0</v>
      </c>
    </row>
    <row r="72" spans="1:26" ht="12.75">
      <c r="A72" s="33">
        <v>64</v>
      </c>
      <c r="B72" s="221" t="s">
        <v>472</v>
      </c>
      <c r="C72" s="779">
        <f>+'[4]2001Tab7'!B73</f>
        <v>9</v>
      </c>
      <c r="D72" s="510">
        <f>+'[4]2001Tab7'!C73</f>
        <v>35</v>
      </c>
      <c r="E72" s="510">
        <f>+'[4]2001Tab7'!D73</f>
        <v>233</v>
      </c>
      <c r="F72" s="510">
        <f>+'[4]2001Tab7'!E73</f>
        <v>237</v>
      </c>
      <c r="G72" s="510">
        <f>+'[4]2001Tab7'!F73</f>
        <v>220</v>
      </c>
      <c r="H72" s="510">
        <f>+'[4]2001Tab7'!G73</f>
        <v>190</v>
      </c>
      <c r="I72" s="510">
        <f>+'[4]2001Tab7'!H73</f>
        <v>229</v>
      </c>
      <c r="J72" s="510">
        <f>+'[4]2001Tab7'!I73</f>
        <v>214</v>
      </c>
      <c r="K72" s="510">
        <f>+'[4]2001Tab7'!J73</f>
        <v>209</v>
      </c>
      <c r="L72" s="510">
        <f>+'[4]2001Tab7'!K73</f>
        <v>225</v>
      </c>
      <c r="M72" s="774">
        <f>+'[4]2001Tab7'!L73</f>
        <v>201</v>
      </c>
      <c r="N72" s="771">
        <f>+'[4]2001Tab7'!M73</f>
        <v>284</v>
      </c>
      <c r="O72" s="510">
        <f>+'[4]2001Tab7'!N73</f>
        <v>183</v>
      </c>
      <c r="P72" s="510">
        <f>+'[4]2001Tab7'!O73</f>
        <v>177</v>
      </c>
      <c r="Q72" s="510">
        <f>+'[4]2001Tab7'!P73</f>
        <v>163</v>
      </c>
      <c r="R72" s="510">
        <f>+'[4]2001Tab7'!Q73</f>
        <v>0</v>
      </c>
      <c r="S72" s="510">
        <f>+'[4]2001Tab7'!R73</f>
        <v>0</v>
      </c>
      <c r="T72" s="510">
        <f>+'[4]2001Tab7'!S73</f>
        <v>4</v>
      </c>
      <c r="U72" s="783">
        <f t="shared" si="0"/>
        <v>2813</v>
      </c>
      <c r="V72" s="793"/>
      <c r="W72" s="790">
        <f>'[11]EOY comparison included'!E66</f>
        <v>2877</v>
      </c>
      <c r="X72" s="458">
        <f t="shared" si="4"/>
        <v>-64</v>
      </c>
      <c r="Y72" s="222">
        <f t="shared" si="2"/>
        <v>0</v>
      </c>
      <c r="Z72" s="222">
        <f t="shared" si="3"/>
        <v>-64</v>
      </c>
    </row>
    <row r="73" spans="1:26" ht="12.75">
      <c r="A73" s="33">
        <v>65</v>
      </c>
      <c r="B73" s="221" t="s">
        <v>205</v>
      </c>
      <c r="C73" s="779">
        <f>+'[4]2001Tab7'!B74</f>
        <v>38</v>
      </c>
      <c r="D73" s="510">
        <f>+'[4]2001Tab7'!C74</f>
        <v>75</v>
      </c>
      <c r="E73" s="510">
        <f>+'[4]2001Tab7'!D74</f>
        <v>753</v>
      </c>
      <c r="F73" s="510">
        <f>+'[4]2001Tab7'!E74</f>
        <v>821</v>
      </c>
      <c r="G73" s="510">
        <f>+'[4]2001Tab7'!F74</f>
        <v>760</v>
      </c>
      <c r="H73" s="510">
        <f>+'[4]2001Tab7'!G74</f>
        <v>792</v>
      </c>
      <c r="I73" s="510">
        <f>+'[4]2001Tab7'!H74</f>
        <v>832</v>
      </c>
      <c r="J73" s="510">
        <f>+'[4]2001Tab7'!I74</f>
        <v>719</v>
      </c>
      <c r="K73" s="510">
        <f>+'[4]2001Tab7'!J74</f>
        <v>725</v>
      </c>
      <c r="L73" s="510">
        <f>+'[4]2001Tab7'!K74</f>
        <v>850</v>
      </c>
      <c r="M73" s="774">
        <f>+'[4]2001Tab7'!L74</f>
        <v>708</v>
      </c>
      <c r="N73" s="771">
        <f>+'[4]2001Tab7'!M74</f>
        <v>839</v>
      </c>
      <c r="O73" s="510">
        <f>+'[4]2001Tab7'!N74</f>
        <v>585</v>
      </c>
      <c r="P73" s="510">
        <f>+'[4]2001Tab7'!O74</f>
        <v>596</v>
      </c>
      <c r="Q73" s="510">
        <f>+'[4]2001Tab7'!P74</f>
        <v>510</v>
      </c>
      <c r="R73" s="510">
        <f>+'[4]2001Tab7'!Q74</f>
        <v>0</v>
      </c>
      <c r="S73" s="510">
        <f>+'[4]2001Tab7'!R74</f>
        <v>0</v>
      </c>
      <c r="T73" s="510">
        <f>+'[4]2001Tab7'!S74</f>
        <v>0</v>
      </c>
      <c r="U73" s="783">
        <f>SUM(C73:T73)</f>
        <v>9603</v>
      </c>
      <c r="V73" s="793"/>
      <c r="W73" s="790">
        <f>'[11]EOY comparison included'!E67</f>
        <v>10141</v>
      </c>
      <c r="X73" s="458">
        <f>+U73-W73</f>
        <v>-538</v>
      </c>
      <c r="Y73" s="222">
        <f t="shared" si="2"/>
        <v>0</v>
      </c>
      <c r="Z73" s="222">
        <f t="shared" si="3"/>
        <v>-538</v>
      </c>
    </row>
    <row r="74" spans="1:26" ht="12.75">
      <c r="A74" s="33">
        <v>66</v>
      </c>
      <c r="B74" s="221" t="s">
        <v>206</v>
      </c>
      <c r="C74" s="780">
        <f>+'[4]2001Tab7'!B75</f>
        <v>0</v>
      </c>
      <c r="D74" s="510">
        <f>+'[4]2001Tab7'!C75</f>
        <v>50</v>
      </c>
      <c r="E74" s="510">
        <f>+'[4]2001Tab7'!D75</f>
        <v>235</v>
      </c>
      <c r="F74" s="510">
        <f>+'[4]2001Tab7'!E75</f>
        <v>259</v>
      </c>
      <c r="G74" s="510">
        <f>+'[4]2001Tab7'!F75</f>
        <v>242</v>
      </c>
      <c r="H74" s="510">
        <f>+'[4]2001Tab7'!G75</f>
        <v>239</v>
      </c>
      <c r="I74" s="510">
        <f>+'[4]2001Tab7'!H75</f>
        <v>243</v>
      </c>
      <c r="J74" s="510">
        <f>+'[4]2001Tab7'!I75</f>
        <v>212</v>
      </c>
      <c r="K74" s="510">
        <f>+'[4]2001Tab7'!J75</f>
        <v>201</v>
      </c>
      <c r="L74" s="510">
        <f>+'[4]2001Tab7'!K75</f>
        <v>236</v>
      </c>
      <c r="M74" s="774">
        <f>+'[4]2001Tab7'!L75</f>
        <v>246</v>
      </c>
      <c r="N74" s="771">
        <f>+'[4]2001Tab7'!M75</f>
        <v>238</v>
      </c>
      <c r="O74" s="510">
        <f>+'[4]2001Tab7'!N75</f>
        <v>221</v>
      </c>
      <c r="P74" s="510">
        <f>+'[4]2001Tab7'!O75</f>
        <v>195</v>
      </c>
      <c r="Q74" s="510">
        <f>+'[4]2001Tab7'!P75</f>
        <v>183</v>
      </c>
      <c r="R74" s="510">
        <f>+'[4]2001Tab7'!Q75</f>
        <v>0</v>
      </c>
      <c r="S74" s="510">
        <f>+'[4]2001Tab7'!R75</f>
        <v>0</v>
      </c>
      <c r="T74" s="510">
        <f>+'[4]2001Tab7'!S75</f>
        <v>19</v>
      </c>
      <c r="U74" s="783">
        <f>SUM(C74:T74)</f>
        <v>3019</v>
      </c>
      <c r="V74" s="793"/>
      <c r="W74" s="790">
        <f>'[11]EOY comparison included'!E68</f>
        <v>3064</v>
      </c>
      <c r="X74" s="459">
        <f>+U74-W74</f>
        <v>-45</v>
      </c>
      <c r="Y74" s="222">
        <f>IF(X74&gt;0,X74,0)</f>
        <v>0</v>
      </c>
      <c r="Z74" s="222">
        <f>IF(X74&lt;0,X74,0)</f>
        <v>-45</v>
      </c>
    </row>
    <row r="75" spans="1:26" ht="15.75" thickBot="1">
      <c r="A75" s="224"/>
      <c r="B75" s="224" t="s">
        <v>732</v>
      </c>
      <c r="C75" s="225">
        <f aca="true" t="shared" si="5" ref="C75:Q75">SUM(C9:C74)</f>
        <v>1377</v>
      </c>
      <c r="D75" s="225">
        <f t="shared" si="5"/>
        <v>4925</v>
      </c>
      <c r="E75" s="225">
        <f t="shared" si="5"/>
        <v>52964</v>
      </c>
      <c r="F75" s="225">
        <f t="shared" si="5"/>
        <v>57964</v>
      </c>
      <c r="G75" s="225">
        <f t="shared" si="5"/>
        <v>56018</v>
      </c>
      <c r="H75" s="225">
        <f t="shared" si="5"/>
        <v>57245</v>
      </c>
      <c r="I75" s="225">
        <f t="shared" si="5"/>
        <v>61995</v>
      </c>
      <c r="J75" s="225">
        <f t="shared" si="5"/>
        <v>54643</v>
      </c>
      <c r="K75" s="225">
        <f t="shared" si="5"/>
        <v>54869</v>
      </c>
      <c r="L75" s="225">
        <f t="shared" si="5"/>
        <v>58152</v>
      </c>
      <c r="M75" s="225">
        <f t="shared" si="5"/>
        <v>60598</v>
      </c>
      <c r="N75" s="225">
        <f t="shared" si="5"/>
        <v>56678</v>
      </c>
      <c r="O75" s="225">
        <f t="shared" si="5"/>
        <v>48363</v>
      </c>
      <c r="P75" s="225">
        <f t="shared" si="5"/>
        <v>45374</v>
      </c>
      <c r="Q75" s="225">
        <f t="shared" si="5"/>
        <v>41124</v>
      </c>
      <c r="R75" s="225"/>
      <c r="S75" s="225"/>
      <c r="T75" s="225">
        <f>SUM(T9:T74)</f>
        <v>1731</v>
      </c>
      <c r="U75" s="797">
        <f>SUM(U9:U74)</f>
        <v>714020</v>
      </c>
      <c r="V75" s="793"/>
      <c r="W75" s="797">
        <f>SUM(W9:W74)</f>
        <v>725173</v>
      </c>
      <c r="X75" s="796">
        <f>SUM(X9:X74)</f>
        <v>-11153</v>
      </c>
      <c r="Y75" s="225">
        <f>SUM(Y9:Y74)</f>
        <v>1104</v>
      </c>
      <c r="Z75" s="225">
        <f>SUM(Z9:Z74)</f>
        <v>-12257</v>
      </c>
    </row>
    <row r="76" spans="2:39" ht="54" customHeight="1" thickTop="1">
      <c r="B76" s="226"/>
      <c r="C76" s="906" t="s">
        <v>730</v>
      </c>
      <c r="D76" s="907"/>
      <c r="E76" s="907"/>
      <c r="F76" s="907"/>
      <c r="G76" s="907"/>
      <c r="H76" s="907"/>
      <c r="I76" s="907"/>
      <c r="J76" s="907"/>
      <c r="K76" s="907"/>
      <c r="L76" s="907"/>
      <c r="M76" s="907"/>
      <c r="N76" s="906" t="s">
        <v>731</v>
      </c>
      <c r="O76" s="908"/>
      <c r="P76" s="908"/>
      <c r="Q76" s="908"/>
      <c r="R76" s="908"/>
      <c r="S76" s="908"/>
      <c r="T76" s="908"/>
      <c r="U76" s="795"/>
      <c r="V76" s="795"/>
      <c r="W76" s="760"/>
      <c r="X76" s="760"/>
      <c r="Y76" s="457"/>
      <c r="Z76" s="457"/>
      <c r="AA76" s="457"/>
      <c r="AB76" s="457"/>
      <c r="AC76" s="457"/>
      <c r="AD76" s="457"/>
      <c r="AE76" s="457"/>
      <c r="AF76" s="457"/>
      <c r="AG76" s="457"/>
      <c r="AH76" s="457"/>
      <c r="AI76" s="457"/>
      <c r="AJ76" s="457"/>
      <c r="AK76" s="457"/>
      <c r="AL76" s="457"/>
      <c r="AM76" s="457"/>
    </row>
    <row r="78" ht="12.75">
      <c r="S78" s="466" t="s">
        <v>667</v>
      </c>
    </row>
    <row r="79" ht="12.75">
      <c r="C79" s="612" t="s">
        <v>708</v>
      </c>
    </row>
    <row r="80" spans="19:21" ht="12.75">
      <c r="S80" t="s">
        <v>480</v>
      </c>
      <c r="U80" s="638">
        <f>+'[7]TotalMembership'!$U$83</f>
        <v>811</v>
      </c>
    </row>
    <row r="81" spans="19:21" ht="12.75">
      <c r="S81" t="s">
        <v>668</v>
      </c>
      <c r="U81" s="638">
        <f>+'[7]TotalMembership'!$U$84</f>
        <v>476</v>
      </c>
    </row>
    <row r="82" spans="20:21" ht="12.75">
      <c r="T82" s="13" t="s">
        <v>669</v>
      </c>
      <c r="U82">
        <f>+U81+U80</f>
        <v>1287</v>
      </c>
    </row>
    <row r="84" spans="20:21" ht="13.5" thickBot="1">
      <c r="T84" s="13" t="s">
        <v>670</v>
      </c>
      <c r="U84" s="467">
        <f>+U82+U75</f>
        <v>715307</v>
      </c>
    </row>
    <row r="85" ht="13.5" thickTop="1"/>
  </sheetData>
  <mergeCells count="4">
    <mergeCell ref="C4:M5"/>
    <mergeCell ref="N4:T5"/>
    <mergeCell ref="C76:M76"/>
    <mergeCell ref="N76:T76"/>
  </mergeCells>
  <printOptions horizontalCentered="1"/>
  <pageMargins left="0.25" right="0.25" top="0.83" bottom="0" header="0.23" footer="0.25"/>
  <pageSetup firstPageNumber="23" useFirstPageNumber="1" horizontalDpi="600" verticalDpi="600" orientation="portrait" paperSize="5" scale="95" r:id="rId1"/>
  <headerFooter alignWithMargins="0">
    <oddHeader>&amp;L&amp;"Arial,Bold"&amp;18TABLE 8 - - OCTOBER 2, 2001 MFP STUDENT MEMBERSHIP&amp;R
</oddHeader>
    <oddFooter>&amp;L&amp;F&amp;R&amp;P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ntayal</dc:creator>
  <cp:keywords/>
  <dc:description/>
  <cp:lastModifiedBy>cstevens</cp:lastModifiedBy>
  <cp:lastPrinted>2002-04-01T14:45:18Z</cp:lastPrinted>
  <dcterms:created xsi:type="dcterms:W3CDTF">1999-11-15T20:37:39Z</dcterms:created>
  <dcterms:modified xsi:type="dcterms:W3CDTF">2002-06-18T15:06:08Z</dcterms:modified>
  <cp:category/>
  <cp:version/>
  <cp:contentType/>
  <cp:contentStatus/>
</cp:coreProperties>
</file>