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20" windowWidth="11340" windowHeight="6030" tabRatio="601" firstSheet="2" activeTab="3"/>
  </bookViews>
  <sheets>
    <sheet name="Table 1 State Summary" sheetId="1" r:id="rId1"/>
    <sheet name="Table 2 District Summary" sheetId="2" r:id="rId2"/>
    <sheet name="Table 3 Distribution W Adj" sheetId="3" r:id="rId3"/>
    <sheet name="Table 4 Formula" sheetId="4" r:id="rId4"/>
    <sheet name="Table 5 Lab Schools" sheetId="5" r:id="rId5"/>
    <sheet name="Tables 6-8 Local Wealth" sheetId="6" r:id="rId6"/>
    <sheet name="Table 7 Membership" sheetId="7" r:id="rId7"/>
  </sheets>
  <externalReferences>
    <externalReference r:id="rId10"/>
  </externalReferences>
  <definedNames>
    <definedName name="_xlnm.Print_Area" localSheetId="2">'Table 3 Distribution W Adj'!$A$1:$P$76</definedName>
    <definedName name="_xlnm.Print_Area" localSheetId="5">'Tables 6-8 Local Wealth'!$D$1:$BI$75</definedName>
    <definedName name="_xlnm.Print_Titles" localSheetId="1">'Table 2 District Summary'!$A:$B</definedName>
    <definedName name="_xlnm.Print_Titles" localSheetId="2">'Table 3 Distribution W Adj'!$A:$B,'Table 3 Distribution W Adj'!$1:$5</definedName>
    <definedName name="_xlnm.Print_Titles" localSheetId="3">'Table 4 Formula'!$A:$B</definedName>
    <definedName name="_xlnm.Print_Titles" localSheetId="5">'Tables 6-8 Local Wealth'!$C:$C</definedName>
  </definedNames>
  <calcPr fullCalcOnLoad="1"/>
</workbook>
</file>

<file path=xl/sharedStrings.xml><?xml version="1.0" encoding="utf-8"?>
<sst xmlns="http://schemas.openxmlformats.org/spreadsheetml/2006/main" count="1080" uniqueCount="695">
  <si>
    <t xml:space="preserve"> </t>
  </si>
  <si>
    <t>SCHOOL SYSTEM</t>
  </si>
  <si>
    <t>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</si>
  <si>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</si>
  <si>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</si>
  <si>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</si>
  <si>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</si>
  <si>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</si>
  <si>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</si>
  <si>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</si>
  <si>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</si>
  <si>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</si>
  <si>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</si>
  <si>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</si>
  <si>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</si>
  <si>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</si>
  <si>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</si>
  <si>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</si>
  <si>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</si>
  <si>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</si>
  <si>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</si>
  <si>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</si>
  <si>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</si>
  <si>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</si>
  <si>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</si>
  <si>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</si>
  <si>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</si>
  <si>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</si>
  <si>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</si>
  <si>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</si>
  <si>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</si>
  <si>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</si>
  <si>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</si>
  <si>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</si>
  <si>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</si>
  <si>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</si>
  <si>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</si>
  <si>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</si>
  <si>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</si>
  <si>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</si>
  <si>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</si>
  <si>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</si>
  <si>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</si>
  <si>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</si>
  <si>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</si>
  <si>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</si>
  <si>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</si>
  <si>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</si>
  <si>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</si>
  <si>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</si>
  <si>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</si>
  <si>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</si>
  <si>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</si>
  <si>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</si>
  <si>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</si>
  <si>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</si>
  <si>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</si>
  <si>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</si>
  <si>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</si>
  <si>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</si>
  <si>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</si>
  <si>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</si>
  <si>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</si>
  <si>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</si>
  <si>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</si>
  <si>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</si>
  <si>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</si>
  <si>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</si>
  <si>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</si>
  <si>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</si>
  <si>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AT-RISK STUDENTS (PER SIS)</t>
  </si>
  <si>
    <t>AT-RISK WEIGHTED COST</t>
  </si>
  <si>
    <t>VOC UNITS (PER ANNUAL SCHOOL REPORT)</t>
  </si>
  <si>
    <t>VOC ED WEIGHTED COST</t>
  </si>
  <si>
    <t xml:space="preserve"> SPECIAL ED OTHER EXCEPTIONALITIES STUDENTS (PER LANSER)</t>
  </si>
  <si>
    <t>OTHER EXCEPTIONALITIES WEIGHTED COST</t>
  </si>
  <si>
    <t>SPECIAL ED GIFTED AND TALENTED STUDENTS (PER LANSER)</t>
  </si>
  <si>
    <t>GIFTED AND TALENTED WEIGHTED COST</t>
  </si>
  <si>
    <t>ECONOMY OF SCALE ELIGIBLE  DISTRICT MEMBERSHIP IF LESS THAN 7,500 THEN 7,500 LESS OCT.1MEMBERSHIP</t>
  </si>
  <si>
    <t>ELIGIBLE DISTRICT MEMBERSHIP DIVIDED BY 37,500 FOR ECONOMY OF SCALE VARIABLE FACTOR</t>
  </si>
  <si>
    <t>ECONOMY OF SCALE WEIGHTED COST</t>
  </si>
  <si>
    <t xml:space="preserve">La. Tax comm. </t>
  </si>
  <si>
    <t xml:space="preserve">          PROPERTY AND SALES CAPACITY</t>
  </si>
  <si>
    <t>DEBT SERVICE TAXES</t>
  </si>
  <si>
    <t>PER PUPIL</t>
  </si>
  <si>
    <t>RANK</t>
  </si>
  <si>
    <t>(27a)</t>
  </si>
  <si>
    <t>(2A)</t>
  </si>
  <si>
    <t>(3A)</t>
  </si>
  <si>
    <t>(3B)</t>
  </si>
  <si>
    <t>(3C)</t>
  </si>
  <si>
    <t xml:space="preserve">(6A) </t>
  </si>
  <si>
    <t>(7A)</t>
  </si>
  <si>
    <t>(7B)</t>
  </si>
  <si>
    <t>(8A)</t>
  </si>
  <si>
    <t>(11A)</t>
  </si>
  <si>
    <t>OCTOBER 1, 1997 AUDITED MEMBERSHIP</t>
  </si>
  <si>
    <t>TOTAL ASSESSED PROPERTY VALUE</t>
  </si>
  <si>
    <t>ASSESSED HOMESTEAD EXEMPTION</t>
  </si>
  <si>
    <t>NET ASSESSED TAXABLE PROPERTY</t>
  </si>
  <si>
    <t>PARISH MILL RATE</t>
  </si>
  <si>
    <t>PARISH REVENUE AMOUNT</t>
  </si>
  <si>
    <t>DIST MILL LOW</t>
  </si>
  <si>
    <t>DIST MILL HIGH</t>
  </si>
  <si>
    <t># OF DISTS</t>
  </si>
  <si>
    <t>DIST REVENUE AMOUNT</t>
  </si>
  <si>
    <t>REVENUE PARISHWIDE INCL. DEBT</t>
  </si>
  <si>
    <t>REVENUE DISTRICT INCL. DEBT</t>
  </si>
  <si>
    <t>TOTAL ALL AD VALOREM REV. INCL. DEBT</t>
  </si>
  <si>
    <t>TOTAL AD VALOREM TAXES (DEBT)</t>
  </si>
  <si>
    <t>TOTAL AD VALOREM TAXES    (NON DEBT)</t>
  </si>
  <si>
    <t>SALES TAXES</t>
  </si>
  <si>
    <t>COMBINED SALES PERCENT</t>
  </si>
  <si>
    <t>SALES REVENUE (NON-DEBT)</t>
  </si>
  <si>
    <t>SALES REVENUE (DEBT)</t>
  </si>
  <si>
    <t>TOTAL SALES TAX REVENUE</t>
  </si>
  <si>
    <t>COMPUTED SALES TAX BASE</t>
  </si>
  <si>
    <t>NON-DEBT RATE</t>
  </si>
  <si>
    <t>DEBT RATE</t>
  </si>
  <si>
    <t>PROPERTY CAPACITY INCLUDING DEBT</t>
  </si>
  <si>
    <t>SALES CAPACITY INCLUDING DEBT</t>
  </si>
  <si>
    <t>ADD IN OTHER REVENUES</t>
  </si>
  <si>
    <t>COMBINED CAPACITY INCLUDING DEBT</t>
  </si>
  <si>
    <t>PROPERTY REVENUE INCLUDING DEBT</t>
  </si>
  <si>
    <t>SALES TAX RATE INCLUDING DEBT</t>
  </si>
  <si>
    <t>SALES REVENUE INCLUDING DEBT</t>
  </si>
  <si>
    <t>EFFORT INDEX</t>
  </si>
  <si>
    <t>NUMBER OF DISTRICTS ELIGIBLE FOR LEVEL 2</t>
  </si>
  <si>
    <t>NUMBER OF DISTRICTS INCREASING</t>
  </si>
  <si>
    <t>NO. OF H/H DIST</t>
  </si>
  <si>
    <t>School System</t>
  </si>
  <si>
    <t>Per Pupil Amount</t>
  </si>
  <si>
    <t>Hide</t>
  </si>
  <si>
    <t xml:space="preserve">Economy-of-Scale Weighted Add-On Units </t>
  </si>
  <si>
    <t xml:space="preserve">Total Weighted Add-On Students and/or Units </t>
  </si>
  <si>
    <t>Local Wealth Factor (LWF)</t>
  </si>
  <si>
    <t xml:space="preserve">Weighted Proportion State Membership </t>
  </si>
  <si>
    <t xml:space="preserve">Local Proration Factor </t>
  </si>
  <si>
    <t xml:space="preserve">Local Share of Level 1 </t>
  </si>
  <si>
    <t xml:space="preserve">Local Share Percent </t>
  </si>
  <si>
    <t xml:space="preserve">State Share Percent </t>
  </si>
  <si>
    <t xml:space="preserve">Local Revenue Over Level 1 </t>
  </si>
  <si>
    <t xml:space="preserve">Local Revenue Under Level 1 </t>
  </si>
  <si>
    <t xml:space="preserve">Limit on Level 2 </t>
  </si>
  <si>
    <t xml:space="preserve">Eligible Local Revenue Level 2 </t>
  </si>
  <si>
    <t xml:space="preserve">State Aid Level 2 </t>
  </si>
  <si>
    <t xml:space="preserve">Percent State </t>
  </si>
  <si>
    <t xml:space="preserve">Level 2 State Liability </t>
  </si>
  <si>
    <t xml:space="preserve">State and Local Participation in Level 2 </t>
  </si>
  <si>
    <t xml:space="preserve">Percent Funded </t>
  </si>
  <si>
    <t xml:space="preserve">Subsequent Year Change </t>
  </si>
  <si>
    <t xml:space="preserve">Prior Year Formula Calculation </t>
  </si>
  <si>
    <t xml:space="preserve">Prior Year Formula Calculation Per Pupil </t>
  </si>
  <si>
    <t>Amount Using 1999-2000</t>
  </si>
  <si>
    <t xml:space="preserve">Percent of Total </t>
  </si>
  <si>
    <t xml:space="preserve">TOTAL LEVEL 1 COSTS </t>
  </si>
  <si>
    <t xml:space="preserve">STATE SHARE OF LEVEL 1 </t>
  </si>
  <si>
    <t>5 / 8 months</t>
  </si>
  <si>
    <t>7 - 8</t>
  </si>
  <si>
    <t>col. 4</t>
  </si>
  <si>
    <t>SCHOOL DISTRICTS</t>
  </si>
  <si>
    <t>Due State (-)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</si>
  <si>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</si>
  <si>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</si>
  <si>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</si>
  <si>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</si>
  <si>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</si>
  <si>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</si>
  <si>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</si>
  <si>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</si>
  <si>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</si>
  <si>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</si>
  <si>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</si>
  <si>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</si>
  <si>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</si>
  <si>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</si>
  <si>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</si>
  <si>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</si>
  <si>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</si>
  <si>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</si>
  <si>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</si>
  <si>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</si>
  <si>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</si>
  <si>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</si>
  <si>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</si>
  <si>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</si>
  <si>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</si>
  <si>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</si>
  <si>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</si>
  <si>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</si>
  <si>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</si>
  <si>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</si>
  <si>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</si>
  <si>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</si>
  <si>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</si>
  <si>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</si>
  <si>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</si>
  <si>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</si>
  <si>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</si>
  <si>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</si>
  <si>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</si>
  <si>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</si>
  <si>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</si>
  <si>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</si>
  <si>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</si>
  <si>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</si>
  <si>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</si>
  <si>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</si>
  <si>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</si>
  <si>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</si>
  <si>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</si>
  <si>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</si>
  <si>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</si>
  <si>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</si>
  <si>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</si>
  <si>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</si>
  <si>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</si>
  <si>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</si>
  <si>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</si>
  <si>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</si>
  <si>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</si>
  <si>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</si>
  <si>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</si>
  <si>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</si>
  <si>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</si>
  <si>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</si>
  <si>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</si>
  <si>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</si>
  <si>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</si>
  <si>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</si>
  <si>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</si>
  <si>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</si>
  <si>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</si>
  <si>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</si>
  <si>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</si>
  <si>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</si>
  <si>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</si>
  <si>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</si>
  <si>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</si>
  <si>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</si>
  <si>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Monthly Difference</t>
  </si>
  <si>
    <t>1999-2000 Budget Letter Actual With Adjustments</t>
  </si>
  <si>
    <t>%  Difference 1999-2000 Actual to Initial Allocation</t>
  </si>
  <si>
    <t>(3a)</t>
  </si>
  <si>
    <t>(3b)</t>
  </si>
  <si>
    <t>(4a)</t>
  </si>
  <si>
    <t>(4b)</t>
  </si>
  <si>
    <t>(5a)</t>
  </si>
  <si>
    <t>(5b)</t>
  </si>
  <si>
    <t>(6a)</t>
  </si>
  <si>
    <t>(6b)</t>
  </si>
  <si>
    <t>(13)</t>
  </si>
  <si>
    <t>(16)</t>
  </si>
  <si>
    <t>(28a)</t>
  </si>
  <si>
    <t>(39a)</t>
  </si>
  <si>
    <t xml:space="preserve">  AD VALOREM CONSTITUTIONAL TAX</t>
  </si>
  <si>
    <t>AD VALOREM RENEWABLE TAXES</t>
  </si>
  <si>
    <t>(24)</t>
  </si>
  <si>
    <t>(25)</t>
  </si>
  <si>
    <t>(26)</t>
  </si>
  <si>
    <t>SUMMARY OF ADVALOREM TAXES</t>
  </si>
  <si>
    <t>FISCAL CAPACITY INDEX LWF</t>
  </si>
  <si>
    <t>RANK OF LWF</t>
  </si>
  <si>
    <t>(9a)</t>
  </si>
  <si>
    <t xml:space="preserve">ALL REVENUES  (INCLUDING DEBT) </t>
  </si>
  <si>
    <t>(8B)</t>
  </si>
  <si>
    <t>(10A)</t>
  </si>
  <si>
    <t>Rank Effort</t>
  </si>
  <si>
    <t>(2a)</t>
  </si>
  <si>
    <t>(2b)</t>
  </si>
  <si>
    <t>1998-99 BUDGET</t>
  </si>
  <si>
    <t>LETTER FACTORS</t>
  </si>
  <si>
    <t>&amp; COST</t>
  </si>
  <si>
    <t>Level 1 Base Per Pupil Amount</t>
  </si>
  <si>
    <t>1.</t>
  </si>
  <si>
    <t>October 1 Membership</t>
  </si>
  <si>
    <t>2.</t>
  </si>
  <si>
    <t>At-Risk Weight Factor (17%)</t>
  </si>
  <si>
    <t>3.</t>
  </si>
  <si>
    <t>Vocational Weight Factor (5%)</t>
  </si>
  <si>
    <t>4.</t>
  </si>
  <si>
    <t>Exceptionalities Weight Factor (150%)</t>
  </si>
  <si>
    <t>5.</t>
  </si>
  <si>
    <t>Gifted/Talented Weight Factor (60%)</t>
  </si>
  <si>
    <t>6.</t>
  </si>
  <si>
    <t xml:space="preserve">     (Max 20% at zero Membership &lt;7,500)</t>
  </si>
  <si>
    <t>Total Level 1 State and Local Costs (A X B)</t>
  </si>
  <si>
    <t>State Share of Cost (C X 65%)</t>
  </si>
  <si>
    <t>Local Share of Cost (C X 35%)</t>
  </si>
  <si>
    <t>Level 2 Eligible Local Revenue</t>
  </si>
  <si>
    <t>Total State Share Implementation of</t>
  </si>
  <si>
    <t>Plus/(Minus) Prior Year Adjustments</t>
  </si>
  <si>
    <t>Total State MFP Appropriation</t>
  </si>
  <si>
    <t>Budget Amendment to Increase/(Decrease)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</si>
  <si>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</si>
  <si>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</si>
  <si>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</si>
  <si>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</si>
  <si>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</si>
  <si>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</si>
  <si>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</si>
  <si>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</si>
  <si>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</si>
  <si>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</si>
  <si>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</si>
  <si>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</si>
  <si>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</si>
  <si>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</si>
  <si>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Total Allocation</t>
  </si>
  <si>
    <t>a</t>
  </si>
  <si>
    <t>c=a*b</t>
  </si>
  <si>
    <t xml:space="preserve">TOTAL </t>
  </si>
  <si>
    <t>(46)</t>
  </si>
  <si>
    <t>Change</t>
  </si>
  <si>
    <t>Circular # 908</t>
  </si>
  <si>
    <t>Circular # 921</t>
  </si>
  <si>
    <t>Leg. Projection</t>
  </si>
  <si>
    <t>Initial Allocation</t>
  </si>
  <si>
    <t>LEA Projection</t>
  </si>
  <si>
    <t>Circular #991</t>
  </si>
  <si>
    <t>Changes From</t>
  </si>
  <si>
    <t>MFP Formula Items</t>
  </si>
  <si>
    <t>1996-97 BUDGET</t>
  </si>
  <si>
    <t>1997-98 BUDGET</t>
  </si>
  <si>
    <t>1998-99 Budget</t>
  </si>
  <si>
    <t>1998-99  BUDGET</t>
  </si>
  <si>
    <t xml:space="preserve">1996-97 to </t>
  </si>
  <si>
    <t>1997-98 to</t>
  </si>
  <si>
    <t>Leg. Projection to</t>
  </si>
  <si>
    <t>%</t>
  </si>
  <si>
    <t>1997-98</t>
  </si>
  <si>
    <t>1998-99</t>
  </si>
  <si>
    <t>Preliminary Budget</t>
  </si>
  <si>
    <t>Total Weighted Membership *</t>
  </si>
  <si>
    <t xml:space="preserve">Economy-of-Scale Weight Factor </t>
  </si>
  <si>
    <t>Total Local Revenues in MFP</t>
  </si>
  <si>
    <t>Total Net Assessed Property</t>
  </si>
  <si>
    <t>Total Est. Sales Tax Base</t>
  </si>
  <si>
    <t>Average Equivalent Millage Rate</t>
  </si>
  <si>
    <t>Average Equivalent Sales Tax Rate</t>
  </si>
  <si>
    <t>Property Tax Revenue</t>
  </si>
  <si>
    <t>Sales Tax Revenue</t>
  </si>
  <si>
    <t>7.</t>
  </si>
  <si>
    <t>Other Revenues Considered</t>
  </si>
  <si>
    <t>Level 2 State Support (E X 40%)</t>
  </si>
  <si>
    <t>Level 2 State Liability</t>
  </si>
  <si>
    <t>Based on Prior Year Per Pupil</t>
  </si>
  <si>
    <t>Act 880 of 1997 Total Funding***:</t>
  </si>
  <si>
    <t>Adjustments</t>
  </si>
  <si>
    <t>Other Adjustments</t>
  </si>
  <si>
    <t>MFP Distribution Annual Increase</t>
  </si>
  <si>
    <t>TOTAL LOCAL REVENUES FOR USE IN MFP LEVEL 2</t>
  </si>
  <si>
    <t>(6c)</t>
  </si>
  <si>
    <t>(34)</t>
  </si>
  <si>
    <t>hide</t>
  </si>
  <si>
    <t>(28b)</t>
  </si>
  <si>
    <t>(31a)</t>
  </si>
  <si>
    <t>(31b)</t>
  </si>
  <si>
    <t>(34a)</t>
  </si>
  <si>
    <t>(37a)</t>
  </si>
  <si>
    <t>(38)</t>
  </si>
  <si>
    <t>(39)</t>
  </si>
  <si>
    <t xml:space="preserve">State Aid Increase Due </t>
  </si>
  <si>
    <t>Annual Difference 1999-2000 Actual with Adjustments to Initial Allocation with Adjustments</t>
  </si>
  <si>
    <t>Monthly Payments July through February</t>
  </si>
  <si>
    <t xml:space="preserve"> 4 - 8</t>
  </si>
  <si>
    <t>Revised Initial September 1999-2000 Allocation With Adjustments</t>
  </si>
  <si>
    <t>LEVEL 1 - BASE FOUNDATION OF STATE AND LOCAL COSTS (65/35%)</t>
  </si>
  <si>
    <t xml:space="preserve">Prior Year Formula Calculation Pupils </t>
  </si>
  <si>
    <t>TABLE 4: Continued--</t>
  </si>
  <si>
    <t>1999-2000 MFP PER PUPIL</t>
  </si>
  <si>
    <t>Change in MFP Distribution between 1999-2000 and 2000-2001</t>
  </si>
  <si>
    <t>Decreases in MFP Funding for 2000-2001</t>
  </si>
  <si>
    <t>Increases in MFP Funding for 2000-2001</t>
  </si>
  <si>
    <t>Budgeted FY 1999-2000 Average Teacher Salary</t>
  </si>
  <si>
    <t>SREB 1999-2000 Average Teacher Salary Percent Requirement</t>
  </si>
  <si>
    <t>Number of Classroom Teachers</t>
  </si>
  <si>
    <t>FY 2000-01 MFP With One-time Adjustments and Impact of Scalise Amendment</t>
  </si>
  <si>
    <t xml:space="preserve">TABLE 3: DISTRICT LEVEL MFP DISTRIBUTION </t>
  </si>
  <si>
    <t>Average Pay Raise Based on Scalise Amendment</t>
  </si>
  <si>
    <t>OCT. 1, 2000 WEIGHTED STUDENT MEMBERSHIP</t>
  </si>
  <si>
    <t>TABLE 6 - CALCULATION OF LOCAL WEALTH FACTOR (LWF) AND THE EFFORT INDEX - FY 00-01</t>
  </si>
  <si>
    <t xml:space="preserve">TABLE 1: STATE LEVEL COMPARISON </t>
  </si>
  <si>
    <t>LEA</t>
  </si>
  <si>
    <t>LSU Lab. School</t>
  </si>
  <si>
    <t>Southern Univ. Lab. School</t>
  </si>
  <si>
    <t>Level 1 and 2 State Share</t>
  </si>
  <si>
    <t xml:space="preserve">2000-2001 MFP State Share of Levels 1 and 2 </t>
  </si>
  <si>
    <t>Due District (+)</t>
  </si>
  <si>
    <t xml:space="preserve">cols. + 2+  3 + 4 + 5 + 6 </t>
  </si>
  <si>
    <t>col. 12 x col. 11</t>
  </si>
  <si>
    <t>col. 13 x grand total of col. 10 x 35%</t>
  </si>
  <si>
    <t>col. 14 / col. 10</t>
  </si>
  <si>
    <t>col. 10 - col. 14</t>
  </si>
  <si>
    <t>col. 16 / col. 10</t>
  </si>
  <si>
    <t xml:space="preserve">Sales and Property Tax Revenues (Including Debt) Plus Other Revenue </t>
  </si>
  <si>
    <t>If col. 18-col. 14&gt;0, then col. 19 =col. 18-col. 14; otherwise col. 19 = 0</t>
  </si>
  <si>
    <t>If col. 18-col. 14&lt;0, then col. 20 =col. 18-col. 14; otherwise col. 20 = 0</t>
  </si>
  <si>
    <t>col. 10 x 33%</t>
  </si>
  <si>
    <t>Lesser of Col. 19 or 21</t>
  </si>
  <si>
    <t>If (1-{ (1-.4) x col. 11}) x col. 22 &gt; 0, then 23= (1-{ (1-.4) x col. 11}) x col. 22, otherwise 0</t>
  </si>
  <si>
    <t>col. 23 / col. 22</t>
  </si>
  <si>
    <t>((1-{ (1-.4) x col. 11}) x col. 21) - col. 23 if &gt; 0, otherwise 0</t>
  </si>
  <si>
    <t>col. 22 + col. 23</t>
  </si>
  <si>
    <t>col. 16 + col. 23</t>
  </si>
  <si>
    <t xml:space="preserve">col. 28 / prior yr. Audited Membership </t>
  </si>
  <si>
    <t>col. 28a / 27a</t>
  </si>
  <si>
    <t>If co.l 27&gt; col. 28, then col. 30 = col. 27-col 28; otherwise 0</t>
  </si>
  <si>
    <t>col. 34 -col. 28</t>
  </si>
  <si>
    <t>If col. 32&gt; col. 33, then col. 31 = col. 32-col. 33; otherwise 0</t>
  </si>
  <si>
    <t>If col. 31 &gt; 0, then col. 1; otherwise 0</t>
  </si>
  <si>
    <t>col. 31 / col. 31a</t>
  </si>
  <si>
    <t>If col. 28a * col. 1&gt; col. 28, then col. 32 = col. 28; otherwise col. 28a * col. 1</t>
  </si>
  <si>
    <t>col. 27a * col. 1</t>
  </si>
  <si>
    <t>col. 34a /  col. 27a</t>
  </si>
  <si>
    <t>col. (14 + 22 - 31)</t>
  </si>
  <si>
    <t xml:space="preserve"> LEVELS 1 and 2 LOCAL SHARE OF COST</t>
  </si>
  <si>
    <t>col. 37 / col. 1</t>
  </si>
  <si>
    <t>col. 37 / col. 39</t>
  </si>
  <si>
    <t>col. 34 + col. 37</t>
  </si>
  <si>
    <t>TOTAL MFP COST       (LEVELS 1 and 2)</t>
  </si>
  <si>
    <t>col. 39 / col. 1</t>
  </si>
  <si>
    <t>(14)</t>
  </si>
  <si>
    <t>(15)</t>
  </si>
  <si>
    <t>(17)</t>
  </si>
  <si>
    <t>(18)</t>
  </si>
  <si>
    <t>(19)</t>
  </si>
  <si>
    <t>(20)</t>
  </si>
  <si>
    <t>(21)</t>
  </si>
  <si>
    <t>(22)</t>
  </si>
  <si>
    <t>(23)</t>
  </si>
  <si>
    <t>(27)</t>
  </si>
  <si>
    <t>(28)</t>
  </si>
  <si>
    <t>(29)</t>
  </si>
  <si>
    <t>(30)</t>
  </si>
  <si>
    <t>(31)</t>
  </si>
  <si>
    <t>(32)</t>
  </si>
  <si>
    <t>(33)</t>
  </si>
  <si>
    <t>(35)</t>
  </si>
  <si>
    <t>(36)</t>
  </si>
  <si>
    <t>(37)</t>
  </si>
  <si>
    <r>
      <t xml:space="preserve">TABLE 4: </t>
    </r>
    <r>
      <rPr>
        <b/>
        <i/>
        <sz val="18"/>
        <color indexed="20"/>
        <rFont val="Arial Narrow"/>
        <family val="2"/>
      </rPr>
      <t>Continued--</t>
    </r>
  </si>
  <si>
    <t xml:space="preserve">Students in the Lab. schools are funded per the Minimum Foundation Program definition as approved by the State Board of Elementary and Secondary Education (SBESE). </t>
  </si>
  <si>
    <r>
      <t xml:space="preserve">TABLE 6 LWF: </t>
    </r>
    <r>
      <rPr>
        <b/>
        <i/>
        <sz val="18"/>
        <color indexed="20"/>
        <rFont val="Arial Narrow"/>
        <family val="2"/>
      </rPr>
      <t>Continued --</t>
    </r>
  </si>
  <si>
    <r>
      <t xml:space="preserve">TABLE 6 Effort Index: </t>
    </r>
    <r>
      <rPr>
        <b/>
        <i/>
        <sz val="18"/>
        <color indexed="20"/>
        <rFont val="Arial Narrow"/>
        <family val="2"/>
      </rPr>
      <t>Continued --</t>
    </r>
  </si>
  <si>
    <r>
      <t xml:space="preserve">TABLE 8: </t>
    </r>
    <r>
      <rPr>
        <b/>
        <i/>
        <sz val="18"/>
        <color indexed="20"/>
        <rFont val="Arial Narrow"/>
        <family val="2"/>
      </rPr>
      <t>Continued--</t>
    </r>
  </si>
  <si>
    <t>col. 2 / col. 1</t>
  </si>
  <si>
    <t>Table 6 (total col. 27*col. 31)</t>
  </si>
  <si>
    <t>col. 3 / col. 1</t>
  </si>
  <si>
    <t>col. 3b / col. 1</t>
  </si>
  <si>
    <t>col. 2 + col. 3 + col. 3b</t>
  </si>
  <si>
    <t>col. 4 / col. 1</t>
  </si>
  <si>
    <t>col. 5 / grand col. 5</t>
  </si>
  <si>
    <t>col. 7A / col. 1</t>
  </si>
  <si>
    <t>col. 8A / col. 1</t>
  </si>
  <si>
    <t>col. 9 / col. 1</t>
  </si>
  <si>
    <t>(col. 7a + 8a + 9)</t>
  </si>
  <si>
    <t>PROPERTY AVG. MILLAGE INCLUDING DEBT</t>
  </si>
  <si>
    <t>col. 10/ col. 1</t>
  </si>
  <si>
    <t>col. 10A / col. 5</t>
  </si>
  <si>
    <t>col. 1 - col. 2</t>
  </si>
  <si>
    <t>AFR-kpc 62220 col. 3</t>
  </si>
  <si>
    <t>AFR-kpc 62320 col. 3</t>
  </si>
  <si>
    <t>AFR-kpc 62320 col. 4</t>
  </si>
  <si>
    <t>AFR-kpc 62320 col. 5</t>
  </si>
  <si>
    <t>DIST. MILL LOW</t>
  </si>
  <si>
    <t>DIST. MILL HIGH</t>
  </si>
  <si>
    <t># OF DISTS.</t>
  </si>
  <si>
    <t>DIST. REVENUE AMOUNT</t>
  </si>
  <si>
    <t>AFR-kpc 62320 col. 6</t>
  </si>
  <si>
    <t>AFR-kpc 62320 col. 7</t>
  </si>
  <si>
    <t>AFR-kpc 62320 col. 8</t>
  </si>
  <si>
    <t>col. 5 + col. 7 + col. 11</t>
  </si>
  <si>
    <t>AFR-kpc 62620 col. 3</t>
  </si>
  <si>
    <t>AFR-kpc 62620 col. 4</t>
  </si>
  <si>
    <t>AFR-kpc 62620 col. 5</t>
  </si>
  <si>
    <t>AFR-kpc 62620 col. 6</t>
  </si>
  <si>
    <t>AFR-kpc 62620 col. 7</t>
  </si>
  <si>
    <t>AFR-kpc 62620 col. 8</t>
  </si>
  <si>
    <t>col. 14 + col. 18</t>
  </si>
  <si>
    <t>col. 4 + col. 6 + col. 13</t>
  </si>
  <si>
    <t>col. 5 + col. 7 + col. 14</t>
  </si>
  <si>
    <t>col. 11 + col. 18</t>
  </si>
  <si>
    <t>col. 12 + col. 19</t>
  </si>
  <si>
    <t>(col. 19 / col. 3) * 1000</t>
  </si>
  <si>
    <t>(col. 12/ col. 3) * 1000</t>
  </si>
  <si>
    <t>AVG. MILL RATE (DEBT)</t>
  </si>
  <si>
    <t>AVG. MILL RATE (NON DEBT)</t>
  </si>
  <si>
    <t>AVG. MILL RATE INCLUDING DEBT</t>
  </si>
  <si>
    <t>(col. 23 / col. 3) * 1000</t>
  </si>
  <si>
    <t>AFR-kpc 63300 col. 3</t>
  </si>
  <si>
    <t>AFR kpc 63320 col. 4</t>
  </si>
  <si>
    <t>AFR kpc 63320 col. 5</t>
  </si>
  <si>
    <t>col. 28 + col. 29</t>
  </si>
  <si>
    <t>col. 30 / col. 27</t>
  </si>
  <si>
    <t>col. 28/col. 31</t>
  </si>
  <si>
    <t>col. 29/col. 31</t>
  </si>
  <si>
    <t>(2)</t>
  </si>
  <si>
    <r>
      <t xml:space="preserve">Adjusted </t>
    </r>
    <r>
      <rPr>
        <sz val="10"/>
        <color indexed="18"/>
        <rFont val="Arial"/>
        <family val="2"/>
      </rPr>
      <t>OCTOBER 1, 1999 STUDENT MEMBERSHIP (PER SIS)</t>
    </r>
  </si>
  <si>
    <r>
      <t xml:space="preserve">TABLE 2:  </t>
    </r>
    <r>
      <rPr>
        <b/>
        <i/>
        <sz val="18"/>
        <color indexed="20"/>
        <rFont val="Arial Narrow"/>
        <family val="2"/>
      </rPr>
      <t xml:space="preserve">Continued-- </t>
    </r>
  </si>
  <si>
    <r>
      <t xml:space="preserve">TABLE 2: </t>
    </r>
    <r>
      <rPr>
        <b/>
        <i/>
        <sz val="18"/>
        <color indexed="20"/>
        <rFont val="Arial Narrow"/>
        <family val="2"/>
      </rPr>
      <t>Continued--</t>
    </r>
  </si>
  <si>
    <t>Total MFP Amount Distributed for the First 8 Months of 2000-2001</t>
  </si>
  <si>
    <t>MFP Balance to be Distributed for 2000-2001</t>
  </si>
  <si>
    <t>Monthly Payments March - June 2001</t>
  </si>
  <si>
    <t>TABLE 5 - FY 2000-2001 ALLOCATION FOR THE LAB. SCHOOLS</t>
  </si>
  <si>
    <t xml:space="preserve">Total Weighted Membership and/or Units </t>
  </si>
  <si>
    <t>2000-2001 NEW FORMULA STATE AID (Levels 1 and 2)</t>
  </si>
  <si>
    <t>2000-2001 NEW FORMULA PER PUPIL</t>
  </si>
  <si>
    <r>
      <t xml:space="preserve">Adjusted         </t>
    </r>
    <r>
      <rPr>
        <sz val="10"/>
        <color indexed="18"/>
        <rFont val="Arial"/>
        <family val="2"/>
      </rPr>
      <t xml:space="preserve"> 1999-2000 MFP RESTORING   $19 MM</t>
    </r>
  </si>
  <si>
    <t>Amount Using          2000-2001</t>
  </si>
  <si>
    <t>2000-2001    STATE SHARE OF COST (LEVELS 1 and 2)</t>
  </si>
  <si>
    <t xml:space="preserve">Local Per Pupil                ( Levels 1 and 2) </t>
  </si>
  <si>
    <t xml:space="preserve">2000-2001        Per Pupil State Share            (Levels 1 and 2) </t>
  </si>
  <si>
    <t>Amount Allocated for the First 8 Months</t>
  </si>
  <si>
    <t>Total Allocation for the Four Remaining Months</t>
  </si>
  <si>
    <t>Monthly Payments for March through June 2001</t>
  </si>
  <si>
    <t>d</t>
  </si>
  <si>
    <t>col 3 X col 9</t>
  </si>
  <si>
    <t>col 2 X col 9</t>
  </si>
  <si>
    <t>col 4 X col 9</t>
  </si>
  <si>
    <t>col 5 X col 9</t>
  </si>
  <si>
    <t>if col 1 is less than 7500, then 7500 less col 1, otherwise 0</t>
  </si>
  <si>
    <t>col 6a / 37,500 max of 20% (7,500/37,500)</t>
  </si>
  <si>
    <t>col 6 x col 9</t>
  </si>
  <si>
    <t>col. 6b x  col. 1</t>
  </si>
  <si>
    <t>col. 8 x col. 9</t>
  </si>
  <si>
    <t>Table 6, col. 6 Capacity Index</t>
  </si>
  <si>
    <t>col.8 / Grand Total of col. 8</t>
  </si>
  <si>
    <t>Table 8, col. 34</t>
  </si>
  <si>
    <t>col. 27 / col. 1</t>
  </si>
  <si>
    <t>If col. 32 &gt; col. 33 then col. 32; otherwise 33</t>
  </si>
  <si>
    <t>col. 34/ col. 1</t>
  </si>
  <si>
    <t>col. 34 / col. 39</t>
  </si>
  <si>
    <t>col. 1 + col. 7</t>
  </si>
  <si>
    <t>Table 4 col. 8</t>
  </si>
  <si>
    <t>e</t>
  </si>
  <si>
    <t xml:space="preserve"> multiplied times the Lab. School 1999-2000 per pupil amount of $3,025.</t>
  </si>
  <si>
    <t xml:space="preserve"> October 1, 2000 Membership</t>
  </si>
  <si>
    <t xml:space="preserve">Table 8 (grand total col. 26 x col. 3 / 1000) </t>
  </si>
  <si>
    <t>Table 8, col. 26</t>
  </si>
  <si>
    <t>Table 8,  col. 23</t>
  </si>
  <si>
    <t>Table 8, col. 27</t>
  </si>
  <si>
    <t xml:space="preserve">table 8, col. 30 </t>
  </si>
  <si>
    <t>table 6, col. 3b</t>
  </si>
  <si>
    <t xml:space="preserve"> Table 6, col. 3B +  Table 8, col. 12 + col. 19 + col. 28 + col. 29</t>
  </si>
  <si>
    <r>
      <t xml:space="preserve">Table 7: </t>
    </r>
    <r>
      <rPr>
        <b/>
        <i/>
        <sz val="18"/>
        <rFont val="Arial"/>
        <family val="2"/>
      </rPr>
      <t>Continued --</t>
    </r>
  </si>
  <si>
    <t xml:space="preserve">GRADE LEVELS </t>
  </si>
  <si>
    <t>GRADE LEVLES</t>
  </si>
  <si>
    <t>Oct. 1,</t>
  </si>
  <si>
    <t>Membership</t>
  </si>
  <si>
    <t>Infants</t>
  </si>
  <si>
    <t>Pre-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</si>
  <si>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</si>
  <si>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</si>
  <si>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</si>
  <si>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</si>
  <si>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</si>
  <si>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</si>
  <si>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</si>
  <si>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</si>
  <si>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</si>
  <si>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</si>
  <si>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</si>
  <si>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</si>
  <si>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</si>
  <si>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</si>
  <si>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</si>
  <si>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Ungraded</t>
  </si>
  <si>
    <t>LEA Total</t>
  </si>
  <si>
    <t>School</t>
  </si>
  <si>
    <t>ADJUSTED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</si>
  <si>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</si>
  <si>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</si>
  <si>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</si>
  <si>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</si>
  <si>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</si>
  <si>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</si>
  <si>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</si>
  <si>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</si>
  <si>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</si>
  <si>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</si>
  <si>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</si>
  <si>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</si>
  <si>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</si>
  <si>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</si>
  <si>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</si>
  <si>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</si>
  <si>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</si>
  <si>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</si>
  <si>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</si>
  <si>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</si>
  <si>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</si>
  <si>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</si>
  <si>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</si>
  <si>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</si>
  <si>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</si>
  <si>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</si>
  <si>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</si>
  <si>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</si>
  <si>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</si>
  <si>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</si>
  <si>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</si>
  <si>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</si>
  <si>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</si>
  <si>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</si>
  <si>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</si>
  <si>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</si>
  <si>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</si>
  <si>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</si>
  <si>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</si>
  <si>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</si>
  <si>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</si>
  <si>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</si>
  <si>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</si>
  <si>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</si>
  <si>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</si>
  <si>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</si>
  <si>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</si>
  <si>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</si>
  <si>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</si>
  <si>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</si>
  <si>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</si>
  <si>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</si>
  <si>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</si>
  <si>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</si>
  <si>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</si>
  <si>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</si>
  <si>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</si>
  <si>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</si>
  <si>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</si>
  <si>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</si>
  <si>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</si>
  <si>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</si>
  <si>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</si>
  <si>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</si>
  <si>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State Totals</t>
  </si>
  <si>
    <t>-</t>
  </si>
  <si>
    <t xml:space="preserve">Payments July-Feb </t>
  </si>
  <si>
    <t>x 8</t>
  </si>
  <si>
    <t xml:space="preserve">      TABLE 8 - 1999-2000 LOCAL SCHOOL SYSTEMS TAX DATA</t>
  </si>
  <si>
    <t>2000-2001 One Time Adjustment Due to Drop in Retirement Rate - Using Level 1, Hold-Harmless, and Level 2</t>
  </si>
  <si>
    <t xml:space="preserve">    TABLE 2: DISTRICT LEVEL 2000-2001 SUMMARY                                               </t>
  </si>
  <si>
    <t xml:space="preserve">     Based on 65/35% State/Local Share of Level 1 Cost and Level 2 at 40%</t>
  </si>
  <si>
    <t xml:space="preserve">   TABLE 3:  DISTRICT LEVEL MFP DISTRIBUTION </t>
  </si>
  <si>
    <t xml:space="preserve">   MFP MONTHLY PAYMENTS MARCH-JUNE 2001</t>
  </si>
  <si>
    <r>
      <t>Table 3: C</t>
    </r>
    <r>
      <rPr>
        <b/>
        <i/>
        <sz val="18"/>
        <color indexed="20"/>
        <rFont val="Arial Narrow"/>
        <family val="2"/>
      </rPr>
      <t>ontinued --</t>
    </r>
  </si>
  <si>
    <t xml:space="preserve">  1999  ASSESSED PROPERTY VALUE</t>
  </si>
  <si>
    <r>
      <t>b</t>
    </r>
    <r>
      <rPr>
        <b/>
        <vertAlign val="superscript"/>
        <sz val="10"/>
        <color indexed="2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</si>
  <si>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Calculation of Per Pupil: Per SCR 58, the calculation of the per pupil amount is to be the state average per pupil </t>
    </r>
  </si>
  <si>
    <t>1999-2000 Adjustments Due to Student, CAFR &amp; AFR Audits</t>
  </si>
  <si>
    <t>2000-2001 Total MFP Distribution with One-Time Retirement Adjustments</t>
  </si>
  <si>
    <r>
      <t xml:space="preserve">2000-2001 Total MFP Distribution with One-Time Retirement Adjustments </t>
    </r>
    <r>
      <rPr>
        <b/>
        <i/>
        <sz val="10"/>
        <color indexed="18"/>
        <rFont val="Arial"/>
        <family val="2"/>
      </rPr>
      <t>Per Pupil</t>
    </r>
  </si>
  <si>
    <t>2000-2001 Total MFP Distribution with All Adjustments</t>
  </si>
  <si>
    <t>REVISED 1999-2000 May 2000 Budget Letter                                        Total MFP Distribution with Adjustments</t>
  </si>
  <si>
    <t xml:space="preserve">  amount of $3,050 times the adjusted per pupil membership for 1999-2000.</t>
  </si>
  <si>
    <r>
      <t>Adjustment of 1999-2000 Per Pupil Amount</t>
    </r>
    <r>
      <rPr>
        <b/>
        <i/>
        <vertAlign val="superscript"/>
        <sz val="10"/>
        <color indexed="18"/>
        <rFont val="Arial"/>
        <family val="2"/>
      </rPr>
      <t>3</t>
    </r>
  </si>
  <si>
    <t>g</t>
  </si>
  <si>
    <t>i=h/4</t>
  </si>
  <si>
    <r>
      <t>MFP State Average Per Pupil After One-time Retirement Adjustment</t>
    </r>
    <r>
      <rPr>
        <i/>
        <sz val="10"/>
        <color indexed="18"/>
        <rFont val="Arial"/>
        <family val="2"/>
      </rPr>
      <t xml:space="preserve"> 2000-01</t>
    </r>
  </si>
  <si>
    <t>Circular # 1063          2000-2001 BUDGET LETTER</t>
  </si>
  <si>
    <t>COMPARISON OF 1999-00 to 2000-2001 Budget Letter</t>
  </si>
  <si>
    <t xml:space="preserve">Oct.1, 2000 Student Membership (Per SIS) </t>
  </si>
  <si>
    <t>Level 1 and 2 State Share (C1+E1+F)</t>
  </si>
  <si>
    <t xml:space="preserve">Total State Formula  Allocation </t>
  </si>
  <si>
    <t>Total MFP Distribution (J+K1+K2)</t>
  </si>
  <si>
    <t>Total MFP Allocation (H+I)</t>
  </si>
  <si>
    <t>MFP Appropriation (L-M)</t>
  </si>
  <si>
    <t>(8)/4</t>
  </si>
  <si>
    <t>(12a)</t>
  </si>
  <si>
    <t>(12b)</t>
  </si>
  <si>
    <t xml:space="preserve">Weighted Add-on Student At Risk </t>
  </si>
  <si>
    <t xml:space="preserve">Weighted Add-On Units Voc. Ed. </t>
  </si>
  <si>
    <t xml:space="preserve"> Weighted Add-On Students Other Excep - tionalities </t>
  </si>
  <si>
    <t xml:space="preserve"> Weighted Add-On Students Gifted/ Talented </t>
  </si>
  <si>
    <t>TABLE 4: 2000-2001 MINIMUM FOUNDATION PROGRAM (MFP) LEVELS 1 AND 2</t>
  </si>
  <si>
    <t>Table 3: Continued --</t>
  </si>
  <si>
    <t>Due School (+)</t>
  </si>
  <si>
    <t>Circular # 1061          1999-2000 BUDGET LETTER</t>
  </si>
  <si>
    <t>Based on the State Average MFP Per Pupil Amount After One-Time Retirement Adjustments (Per SCR 58, Regular Session, 2000)</t>
  </si>
  <si>
    <t>Southern Univ.</t>
  </si>
  <si>
    <t>Lab. School</t>
  </si>
  <si>
    <t>LSU</t>
  </si>
  <si>
    <r>
      <t>Student Audit Adjustments</t>
    </r>
    <r>
      <rPr>
        <b/>
        <i/>
        <vertAlign val="superscript"/>
        <sz val="10"/>
        <color indexed="18"/>
        <rFont val="Arial"/>
        <family val="2"/>
      </rPr>
      <t>1</t>
    </r>
  </si>
  <si>
    <r>
      <t xml:space="preserve"> amount</t>
    </r>
    <r>
      <rPr>
        <b/>
        <i/>
        <sz val="10"/>
        <rFont val="Arial"/>
        <family val="2"/>
      </rPr>
      <t xml:space="preserve"> after</t>
    </r>
    <r>
      <rPr>
        <sz val="10"/>
        <rFont val="Arial"/>
        <family val="0"/>
      </rPr>
      <t xml:space="preserve"> the application of the one-time retirement adjustment. </t>
    </r>
  </si>
  <si>
    <t>PARISHWIDE  MILLAGE INCL. DEBT</t>
  </si>
  <si>
    <t>Table 7 - Oct 2, 2000 MFP Student Membership</t>
  </si>
  <si>
    <t>Total Allocation with Adjustments</t>
  </si>
  <si>
    <t>f=c+d+e</t>
  </si>
  <si>
    <t>h=f-g</t>
  </si>
  <si>
    <t>Per Pupil Total MFP Cost (LEVELS 1 and 2)</t>
  </si>
  <si>
    <r>
      <t>3</t>
    </r>
    <r>
      <rPr>
        <sz val="10"/>
        <rFont val="Arial"/>
        <family val="2"/>
      </rPr>
      <t xml:space="preserve">This amount is the difference between the 1999-2000 per pupil amount of $3,025 and the 1999-2000 adjusted per pupil </t>
    </r>
  </si>
  <si>
    <r>
      <t>1</t>
    </r>
    <r>
      <rPr>
        <sz val="10"/>
        <rFont val="Arial"/>
        <family val="2"/>
      </rPr>
      <t xml:space="preserve">Reflects a reduction of 35 students to the October 1, 1999,  student count, per student audit adjustments, </t>
    </r>
  </si>
  <si>
    <t>Includes State and Federal taxes in lieu of and 50% of earnings from 16th section and from other real estate</t>
  </si>
  <si>
    <t>Note: Based upon 2-Oct-00 reported SIS enrollment, excluding Pre-Kindergarten (Grade 24); Students reaching age 22 before the first day of class; and students at excluded Site Codes (e.g.,  LSU and Southern University Lab schools and Type  2 Charter schools.</t>
  </si>
  <si>
    <t>Note: Based upon 2-Oct-00 reported SIS enrollment (October 1 fell on a Sunday in 2000; therefore, the October 1 membership count was taken on October 2 per applicable law) excluding Pre-Kindergarten (Grade 24); students reaching age 22 before the first day of class; and students at excluded site codes (e.g.,  LSU and Southern University Lab schools and Type 2 Charter schools.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</si>
</sst>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0.0%"/>
    <numFmt numFmtId="174" formatCode="#,##0.0"/>
    <numFmt numFmtId="175" formatCode="&quot;$&quot;#,##0.0_);[Red]\(&quot;$&quot;#,##0.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_);_(* \(#,##0.000000\);_(* &quot;-&quot;??????_);_(@_)"/>
    <numFmt numFmtId="183" formatCode="#,##0.000"/>
    <numFmt numFmtId="184" formatCode="#,##0.0000"/>
    <numFmt numFmtId="185" formatCode="#,##0.00000"/>
    <numFmt numFmtId="186" formatCode="#,##0.000000"/>
    <numFmt numFmtId="187" formatCode="&quot;$&quot;#,##0.0"/>
    <numFmt numFmtId="188" formatCode="&quot;$&quot;#,##0.00"/>
    <numFmt numFmtId="189" formatCode="dd\-mmm\-yy_)"/>
    <numFmt numFmtId="190" formatCode="&quot;$&quot;#,##0.0_);\(&quot;$&quot;#,##0.0\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0;[Red]#,##0.00"/>
    <numFmt numFmtId="194" formatCode="&quot;$&quot;#,##0.00;[Red]&quot;$&quot;#,##0.00"/>
    <numFmt numFmtId="195" formatCode="&quot;$&quot;#,##0.0;[Red]&quot;$&quot;#,##0.0"/>
    <numFmt numFmtId="196" formatCode="&quot;$&quot;#,##0;[Red]&quot;$&quot;#,##0"/>
    <numFmt numFmtId="197" formatCode="0.000%"/>
    <numFmt numFmtId="198" formatCode="#,##0.0_);\(#,##0.0\)"/>
    <numFmt numFmtId="199" formatCode="&quot;$&quot;#,##0.000_);\(&quot;$&quot;#,##0.000\)"/>
    <numFmt numFmtId="200" formatCode="&quot;$&quot;#,##0.000_);[Red]\(&quot;$&quot;#,##0.000\)"/>
  </numFmts>
  <fonts count="56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8"/>
      <color indexed="12"/>
      <name val="Impact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i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20"/>
      <color indexed="20"/>
      <name val="Arial Narrow"/>
      <family val="2"/>
    </font>
    <font>
      <b/>
      <sz val="12"/>
      <color indexed="62"/>
      <name val="Arial Narrow"/>
      <family val="2"/>
    </font>
    <font>
      <sz val="12"/>
      <color indexed="62"/>
      <name val="Arial Narrow"/>
      <family val="2"/>
    </font>
    <font>
      <b/>
      <i/>
      <sz val="12"/>
      <color indexed="62"/>
      <name val="Arial Narrow"/>
      <family val="2"/>
    </font>
    <font>
      <sz val="18"/>
      <color indexed="62"/>
      <name val="Arial Narrow"/>
      <family val="2"/>
    </font>
    <font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0"/>
    </font>
    <font>
      <b/>
      <i/>
      <sz val="10"/>
      <color indexed="18"/>
      <name val="Arial Narrow"/>
      <family val="2"/>
    </font>
    <font>
      <b/>
      <sz val="18"/>
      <color indexed="20"/>
      <name val="Arial Narrow"/>
      <family val="2"/>
    </font>
    <font>
      <sz val="18"/>
      <color indexed="20"/>
      <name val="Arial Narrow"/>
      <family val="2"/>
    </font>
    <font>
      <b/>
      <sz val="10"/>
      <color indexed="18"/>
      <name val="Arial"/>
      <family val="2"/>
    </font>
    <font>
      <b/>
      <i/>
      <sz val="18"/>
      <color indexed="20"/>
      <name val="Arial Narrow"/>
      <family val="2"/>
    </font>
    <font>
      <b/>
      <i/>
      <sz val="10"/>
      <name val="Arial"/>
      <family val="2"/>
    </font>
    <font>
      <b/>
      <sz val="16"/>
      <color indexed="20"/>
      <name val="Arial Narrow"/>
      <family val="2"/>
    </font>
    <font>
      <sz val="10"/>
      <color indexed="20"/>
      <name val="Arial Narrow"/>
      <family val="2"/>
    </font>
    <font>
      <sz val="10"/>
      <color indexed="20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b/>
      <i/>
      <sz val="10"/>
      <color indexed="18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color indexed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12"/>
      <color indexed="12"/>
      <name val="CG Omega (PCL6)"/>
      <family val="2"/>
    </font>
    <font>
      <b/>
      <i/>
      <sz val="10"/>
      <color indexed="12"/>
      <name val="Arial"/>
      <family val="2"/>
    </font>
    <font>
      <b/>
      <i/>
      <sz val="21"/>
      <name val="Arial"/>
      <family val="2"/>
    </font>
    <font>
      <b/>
      <sz val="20"/>
      <name val="Arial"/>
      <family val="0"/>
    </font>
    <font>
      <b/>
      <vertAlign val="superscript"/>
      <sz val="10"/>
      <color indexed="2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double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double"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66" fontId="0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2" xfId="0" applyFont="1" applyBorder="1" applyAlignment="1" applyProtection="1">
      <alignment/>
      <protection/>
    </xf>
    <xf numFmtId="5" fontId="0" fillId="0" borderId="2" xfId="0" applyNumberFormat="1" applyFont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5" fontId="4" fillId="2" borderId="3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0" fontId="0" fillId="0" borderId="10" xfId="0" applyNumberFormat="1" applyFont="1" applyBorder="1" applyAlignment="1" applyProtection="1">
      <alignment/>
      <protection/>
    </xf>
    <xf numFmtId="10" fontId="0" fillId="0" borderId="2" xfId="0" applyNumberFormat="1" applyFont="1" applyBorder="1" applyAlignment="1" applyProtection="1">
      <alignment/>
      <protection/>
    </xf>
    <xf numFmtId="10" fontId="4" fillId="2" borderId="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5" fontId="0" fillId="0" borderId="4" xfId="0" applyNumberFormat="1" applyFont="1" applyBorder="1" applyAlignment="1" applyProtection="1">
      <alignment/>
      <protection/>
    </xf>
    <xf numFmtId="10" fontId="0" fillId="0" borderId="4" xfId="0" applyNumberFormat="1" applyFont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5" fontId="5" fillId="0" borderId="2" xfId="0" applyNumberFormat="1" applyFont="1" applyFill="1" applyBorder="1" applyAlignment="1" applyProtection="1">
      <alignment/>
      <protection locked="0"/>
    </xf>
    <xf numFmtId="5" fontId="0" fillId="0" borderId="2" xfId="0" applyNumberFormat="1" applyFont="1" applyFill="1" applyBorder="1" applyAlignment="1" applyProtection="1">
      <alignment/>
      <protection/>
    </xf>
    <xf numFmtId="5" fontId="4" fillId="0" borderId="2" xfId="0" applyNumberFormat="1" applyFont="1" applyFill="1" applyBorder="1" applyAlignment="1" applyProtection="1">
      <alignment/>
      <protection/>
    </xf>
    <xf numFmtId="10" fontId="0" fillId="0" borderId="2" xfId="0" applyNumberFormat="1" applyFont="1" applyFill="1" applyBorder="1" applyAlignment="1" applyProtection="1">
      <alignment/>
      <protection/>
    </xf>
    <xf numFmtId="5" fontId="4" fillId="0" borderId="4" xfId="0" applyNumberFormat="1" applyFont="1" applyFill="1" applyBorder="1" applyAlignment="1" applyProtection="1">
      <alignment/>
      <protection/>
    </xf>
    <xf numFmtId="166" fontId="3" fillId="0" borderId="0" xfId="15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9" fontId="9" fillId="4" borderId="1" xfId="0" applyNumberFormat="1" applyFont="1" applyFill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6" fontId="0" fillId="0" borderId="11" xfId="15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6" fontId="0" fillId="0" borderId="12" xfId="15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3" fontId="0" fillId="0" borderId="12" xfId="15" applyNumberFormat="1" applyFont="1" applyBorder="1" applyAlignment="1">
      <alignment/>
    </xf>
    <xf numFmtId="179" fontId="0" fillId="0" borderId="12" xfId="15" applyNumberFormat="1" applyFont="1" applyBorder="1" applyAlignment="1">
      <alignment/>
    </xf>
    <xf numFmtId="186" fontId="0" fillId="0" borderId="12" xfId="0" applyNumberFormat="1" applyFont="1" applyBorder="1" applyAlignment="1">
      <alignment/>
    </xf>
    <xf numFmtId="10" fontId="0" fillId="0" borderId="12" xfId="21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8" fontId="0" fillId="0" borderId="12" xfId="0" applyNumberFormat="1" applyFont="1" applyBorder="1" applyAlignment="1">
      <alignment/>
    </xf>
    <xf numFmtId="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6" fontId="0" fillId="0" borderId="13" xfId="15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9" fontId="4" fillId="0" borderId="12" xfId="15" applyNumberFormat="1" applyFont="1" applyBorder="1" applyAlignment="1">
      <alignment/>
    </xf>
    <xf numFmtId="167" fontId="0" fillId="0" borderId="12" xfId="0" applyNumberFormat="1" applyFont="1" applyBorder="1" applyAlignment="1">
      <alignment horizontal="right" wrapText="1"/>
    </xf>
    <xf numFmtId="166" fontId="0" fillId="0" borderId="12" xfId="15" applyNumberFormat="1" applyFont="1" applyBorder="1" applyAlignment="1">
      <alignment horizontal="right" wrapText="1"/>
    </xf>
    <xf numFmtId="6" fontId="0" fillId="0" borderId="12" xfId="0" applyNumberFormat="1" applyFont="1" applyBorder="1" applyAlignment="1">
      <alignment horizontal="right" wrapText="1"/>
    </xf>
    <xf numFmtId="43" fontId="0" fillId="0" borderId="12" xfId="15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3" fontId="0" fillId="0" borderId="15" xfId="15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79" fontId="0" fillId="0" borderId="15" xfId="15" applyNumberFormat="1" applyFont="1" applyBorder="1" applyAlignment="1">
      <alignment/>
    </xf>
    <xf numFmtId="186" fontId="0" fillId="0" borderId="15" xfId="0" applyNumberFormat="1" applyFont="1" applyBorder="1" applyAlignment="1">
      <alignment/>
    </xf>
    <xf numFmtId="10" fontId="0" fillId="0" borderId="15" xfId="21" applyNumberFormat="1" applyFont="1" applyBorder="1" applyAlignment="1">
      <alignment/>
    </xf>
    <xf numFmtId="167" fontId="4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79" fontId="4" fillId="0" borderId="15" xfId="15" applyNumberFormat="1" applyFont="1" applyBorder="1" applyAlignment="1">
      <alignment/>
    </xf>
    <xf numFmtId="167" fontId="0" fillId="0" borderId="15" xfId="0" applyNumberFormat="1" applyFont="1" applyBorder="1" applyAlignment="1">
      <alignment horizontal="right" wrapText="1"/>
    </xf>
    <xf numFmtId="166" fontId="0" fillId="0" borderId="15" xfId="15" applyNumberFormat="1" applyFont="1" applyBorder="1" applyAlignment="1">
      <alignment horizontal="right" wrapText="1"/>
    </xf>
    <xf numFmtId="6" fontId="0" fillId="0" borderId="15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6" fontId="0" fillId="0" borderId="12" xfId="0" applyNumberFormat="1" applyBorder="1" applyAlignment="1">
      <alignment/>
    </xf>
    <xf numFmtId="166" fontId="0" fillId="0" borderId="15" xfId="15" applyNumberFormat="1" applyFont="1" applyBorder="1" applyAlignment="1">
      <alignment/>
    </xf>
    <xf numFmtId="5" fontId="0" fillId="0" borderId="0" xfId="0" applyNumberFormat="1" applyFont="1" applyAlignment="1">
      <alignment/>
    </xf>
    <xf numFmtId="2" fontId="0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 horizontal="left"/>
    </xf>
    <xf numFmtId="0" fontId="12" fillId="0" borderId="30" xfId="0" applyFont="1" applyFill="1" applyBorder="1" applyAlignment="1">
      <alignment/>
    </xf>
    <xf numFmtId="173" fontId="12" fillId="0" borderId="30" xfId="0" applyNumberFormat="1" applyFont="1" applyFill="1" applyBorder="1" applyAlignment="1" applyProtection="1">
      <alignment/>
      <protection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5" fontId="12" fillId="0" borderId="35" xfId="0" applyNumberFormat="1" applyFont="1" applyFill="1" applyBorder="1" applyAlignment="1" applyProtection="1">
      <alignment/>
      <protection/>
    </xf>
    <xf numFmtId="173" fontId="12" fillId="0" borderId="35" xfId="0" applyNumberFormat="1" applyFont="1" applyFill="1" applyBorder="1" applyAlignment="1" applyProtection="1">
      <alignment/>
      <protection/>
    </xf>
    <xf numFmtId="173" fontId="12" fillId="0" borderId="36" xfId="0" applyNumberFormat="1" applyFont="1" applyFill="1" applyBorder="1" applyAlignment="1" applyProtection="1">
      <alignment/>
      <protection/>
    </xf>
    <xf numFmtId="5" fontId="12" fillId="0" borderId="36" xfId="0" applyNumberFormat="1" applyFont="1" applyFill="1" applyBorder="1" applyAlignment="1" applyProtection="1">
      <alignment/>
      <protection/>
    </xf>
    <xf numFmtId="173" fontId="12" fillId="0" borderId="34" xfId="0" applyNumberFormat="1" applyFont="1" applyFill="1" applyBorder="1" applyAlignment="1" applyProtection="1">
      <alignment/>
      <protection/>
    </xf>
    <xf numFmtId="0" fontId="10" fillId="0" borderId="2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5" fontId="12" fillId="0" borderId="38" xfId="0" applyNumberFormat="1" applyFont="1" applyFill="1" applyBorder="1" applyAlignment="1" applyProtection="1">
      <alignment/>
      <protection/>
    </xf>
    <xf numFmtId="0" fontId="10" fillId="0" borderId="39" xfId="0" applyFont="1" applyFill="1" applyBorder="1" applyAlignment="1">
      <alignment horizontal="center"/>
    </xf>
    <xf numFmtId="37" fontId="12" fillId="0" borderId="40" xfId="0" applyNumberFormat="1" applyFont="1" applyFill="1" applyBorder="1" applyAlignment="1" applyProtection="1">
      <alignment/>
      <protection/>
    </xf>
    <xf numFmtId="173" fontId="12" fillId="0" borderId="40" xfId="0" applyNumberFormat="1" applyFont="1" applyFill="1" applyBorder="1" applyAlignment="1" applyProtection="1">
      <alignment/>
      <protection/>
    </xf>
    <xf numFmtId="37" fontId="10" fillId="0" borderId="35" xfId="0" applyNumberFormat="1" applyFont="1" applyFill="1" applyBorder="1" applyAlignment="1" applyProtection="1">
      <alignment/>
      <protection/>
    </xf>
    <xf numFmtId="173" fontId="10" fillId="0" borderId="36" xfId="0" applyNumberFormat="1" applyFont="1" applyFill="1" applyBorder="1" applyAlignment="1" applyProtection="1">
      <alignment/>
      <protection/>
    </xf>
    <xf numFmtId="37" fontId="10" fillId="0" borderId="41" xfId="0" applyNumberFormat="1" applyFont="1" applyFill="1" applyBorder="1" applyAlignment="1" applyProtection="1">
      <alignment/>
      <protection/>
    </xf>
    <xf numFmtId="5" fontId="10" fillId="0" borderId="38" xfId="0" applyNumberFormat="1" applyFont="1" applyFill="1" applyBorder="1" applyAlignment="1" applyProtection="1">
      <alignment/>
      <protection/>
    </xf>
    <xf numFmtId="0" fontId="10" fillId="0" borderId="28" xfId="0" applyFont="1" applyFill="1" applyBorder="1" applyAlignment="1">
      <alignment horizontal="center"/>
    </xf>
    <xf numFmtId="37" fontId="12" fillId="0" borderId="30" xfId="0" applyNumberFormat="1" applyFont="1" applyFill="1" applyBorder="1" applyAlignment="1" applyProtection="1">
      <alignment horizontal="right"/>
      <protection/>
    </xf>
    <xf numFmtId="173" fontId="12" fillId="0" borderId="30" xfId="0" applyNumberFormat="1" applyFont="1" applyFill="1" applyBorder="1" applyAlignment="1" applyProtection="1">
      <alignment horizontal="right"/>
      <protection/>
    </xf>
    <xf numFmtId="37" fontId="10" fillId="0" borderId="30" xfId="0" applyNumberFormat="1" applyFont="1" applyFill="1" applyBorder="1" applyAlignment="1" applyProtection="1">
      <alignment horizontal="right"/>
      <protection/>
    </xf>
    <xf numFmtId="173" fontId="10" fillId="0" borderId="31" xfId="0" applyNumberFormat="1" applyFont="1" applyFill="1" applyBorder="1" applyAlignment="1" applyProtection="1">
      <alignment horizontal="right"/>
      <protection/>
    </xf>
    <xf numFmtId="37" fontId="10" fillId="0" borderId="31" xfId="0" applyNumberFormat="1" applyFont="1" applyFill="1" applyBorder="1" applyAlignment="1" applyProtection="1">
      <alignment/>
      <protection/>
    </xf>
    <xf numFmtId="5" fontId="10" fillId="0" borderId="22" xfId="0" applyNumberFormat="1" applyFont="1" applyFill="1" applyBorder="1" applyAlignment="1" applyProtection="1">
      <alignment/>
      <protection/>
    </xf>
    <xf numFmtId="0" fontId="10" fillId="0" borderId="34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5" fontId="10" fillId="0" borderId="35" xfId="0" applyNumberFormat="1" applyFont="1" applyFill="1" applyBorder="1" applyAlignment="1" applyProtection="1">
      <alignment/>
      <protection/>
    </xf>
    <xf numFmtId="10" fontId="12" fillId="0" borderId="35" xfId="0" applyNumberFormat="1" applyFont="1" applyFill="1" applyBorder="1" applyAlignment="1" applyProtection="1">
      <alignment/>
      <protection/>
    </xf>
    <xf numFmtId="39" fontId="12" fillId="0" borderId="35" xfId="0" applyNumberFormat="1" applyFont="1" applyFill="1" applyBorder="1" applyAlignment="1" applyProtection="1">
      <alignment/>
      <protection/>
    </xf>
    <xf numFmtId="0" fontId="12" fillId="0" borderId="22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5" fontId="10" fillId="0" borderId="26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right"/>
    </xf>
    <xf numFmtId="167" fontId="0" fillId="0" borderId="12" xfId="15" applyNumberFormat="1" applyFont="1" applyBorder="1" applyAlignment="1">
      <alignment horizontal="right" wrapText="1"/>
    </xf>
    <xf numFmtId="167" fontId="0" fillId="0" borderId="15" xfId="15" applyNumberFormat="1" applyFont="1" applyBorder="1" applyAlignment="1">
      <alignment horizontal="right" wrapText="1"/>
    </xf>
    <xf numFmtId="167" fontId="0" fillId="0" borderId="12" xfId="15" applyNumberFormat="1" applyFont="1" applyBorder="1" applyAlignment="1">
      <alignment/>
    </xf>
    <xf numFmtId="5" fontId="0" fillId="0" borderId="12" xfId="17" applyNumberFormat="1" applyFont="1" applyBorder="1" applyAlignment="1">
      <alignment/>
    </xf>
    <xf numFmtId="167" fontId="0" fillId="0" borderId="12" xfId="21" applyNumberFormat="1" applyFont="1" applyBorder="1" applyAlignment="1">
      <alignment/>
    </xf>
    <xf numFmtId="167" fontId="0" fillId="0" borderId="15" xfId="21" applyNumberFormat="1" applyFont="1" applyBorder="1" applyAlignment="1">
      <alignment/>
    </xf>
    <xf numFmtId="7" fontId="3" fillId="0" borderId="0" xfId="17" applyNumberFormat="1" applyFont="1" applyAlignment="1">
      <alignment horizontal="center"/>
    </xf>
    <xf numFmtId="7" fontId="3" fillId="0" borderId="0" xfId="17" applyNumberFormat="1" applyFont="1" applyAlignment="1">
      <alignment/>
    </xf>
    <xf numFmtId="5" fontId="4" fillId="0" borderId="4" xfId="0" applyNumberFormat="1" applyFont="1" applyBorder="1" applyAlignment="1" applyProtection="1">
      <alignment horizontal="center"/>
      <protection locked="0"/>
    </xf>
    <xf numFmtId="5" fontId="4" fillId="0" borderId="4" xfId="0" applyNumberFormat="1" applyFont="1" applyBorder="1" applyAlignment="1" applyProtection="1" quotePrefix="1">
      <alignment horizontal="center"/>
      <protection locked="0"/>
    </xf>
    <xf numFmtId="166" fontId="4" fillId="0" borderId="4" xfId="15" applyNumberFormat="1" applyFont="1" applyBorder="1" applyAlignment="1" applyProtection="1" quotePrefix="1">
      <alignment horizontal="center"/>
      <protection locked="0"/>
    </xf>
    <xf numFmtId="5" fontId="4" fillId="0" borderId="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" fontId="0" fillId="0" borderId="0" xfId="0" applyNumberFormat="1" applyFont="1" applyAlignment="1" applyProtection="1" quotePrefix="1">
      <alignment horizontal="center"/>
      <protection locked="0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9" fontId="3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4" fillId="0" borderId="10" xfId="0" applyFont="1" applyBorder="1" applyAlignment="1" applyProtection="1">
      <alignment horizontal="center" wrapText="1"/>
      <protection locked="0"/>
    </xf>
    <xf numFmtId="9" fontId="20" fillId="0" borderId="12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wrapText="1"/>
    </xf>
    <xf numFmtId="5" fontId="4" fillId="0" borderId="42" xfId="0" applyNumberFormat="1" applyFont="1" applyFill="1" applyBorder="1" applyAlignment="1" applyProtection="1">
      <alignment/>
      <protection/>
    </xf>
    <xf numFmtId="5" fontId="4" fillId="0" borderId="43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166" fontId="0" fillId="0" borderId="2" xfId="15" applyNumberFormat="1" applyFont="1" applyBorder="1" applyAlignment="1" applyProtection="1">
      <alignment/>
      <protection/>
    </xf>
    <xf numFmtId="166" fontId="0" fillId="0" borderId="4" xfId="15" applyNumberFormat="1" applyFont="1" applyBorder="1" applyAlignment="1" applyProtection="1">
      <alignment/>
      <protection/>
    </xf>
    <xf numFmtId="166" fontId="0" fillId="0" borderId="2" xfId="15" applyNumberFormat="1" applyFont="1" applyFill="1" applyBorder="1" applyAlignment="1" applyProtection="1">
      <alignment/>
      <protection/>
    </xf>
    <xf numFmtId="166" fontId="4" fillId="2" borderId="3" xfId="15" applyNumberFormat="1" applyFont="1" applyFill="1" applyBorder="1" applyAlignment="1" applyProtection="1">
      <alignment/>
      <protection/>
    </xf>
    <xf numFmtId="9" fontId="0" fillId="0" borderId="2" xfId="21" applyFont="1" applyBorder="1" applyAlignment="1" applyProtection="1">
      <alignment/>
      <protection/>
    </xf>
    <xf numFmtId="9" fontId="0" fillId="0" borderId="4" xfId="21" applyFont="1" applyBorder="1" applyAlignment="1" applyProtection="1">
      <alignment/>
      <protection/>
    </xf>
    <xf numFmtId="9" fontId="0" fillId="0" borderId="2" xfId="21" applyFont="1" applyFill="1" applyBorder="1" applyAlignment="1" applyProtection="1">
      <alignment/>
      <protection/>
    </xf>
    <xf numFmtId="9" fontId="4" fillId="2" borderId="3" xfId="21" applyFont="1" applyFill="1" applyBorder="1" applyAlignment="1" applyProtection="1">
      <alignment/>
      <protection/>
    </xf>
    <xf numFmtId="5" fontId="4" fillId="0" borderId="44" xfId="0" applyNumberFormat="1" applyFont="1" applyBorder="1" applyAlignment="1" applyProtection="1">
      <alignment horizontal="center"/>
      <protection locked="0"/>
    </xf>
    <xf numFmtId="5" fontId="0" fillId="0" borderId="45" xfId="0" applyNumberFormat="1" applyFont="1" applyBorder="1" applyAlignment="1" applyProtection="1">
      <alignment/>
      <protection/>
    </xf>
    <xf numFmtId="5" fontId="0" fillId="0" borderId="44" xfId="0" applyNumberFormat="1" applyFont="1" applyBorder="1" applyAlignment="1" applyProtection="1">
      <alignment/>
      <protection/>
    </xf>
    <xf numFmtId="5" fontId="0" fillId="0" borderId="45" xfId="0" applyNumberFormat="1" applyFont="1" applyFill="1" applyBorder="1" applyAlignment="1" applyProtection="1">
      <alignment/>
      <protection/>
    </xf>
    <xf numFmtId="5" fontId="4" fillId="2" borderId="46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5" fontId="4" fillId="0" borderId="0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0" fillId="0" borderId="0" xfId="0" applyNumberFormat="1" applyFont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5" fontId="4" fillId="2" borderId="0" xfId="0" applyNumberFormat="1" applyFont="1" applyFill="1" applyBorder="1" applyAlignment="1" applyProtection="1">
      <alignment/>
      <protection/>
    </xf>
    <xf numFmtId="5" fontId="0" fillId="0" borderId="47" xfId="0" applyNumberFormat="1" applyFont="1" applyBorder="1" applyAlignment="1" applyProtection="1">
      <alignment/>
      <protection/>
    </xf>
    <xf numFmtId="5" fontId="0" fillId="0" borderId="48" xfId="0" applyNumberFormat="1" applyFont="1" applyBorder="1" applyAlignment="1" applyProtection="1">
      <alignment/>
      <protection/>
    </xf>
    <xf numFmtId="5" fontId="0" fillId="0" borderId="47" xfId="0" applyNumberFormat="1" applyFont="1" applyFill="1" applyBorder="1" applyAlignment="1" applyProtection="1">
      <alignment/>
      <protection/>
    </xf>
    <xf numFmtId="5" fontId="4" fillId="2" borderId="49" xfId="0" applyNumberFormat="1" applyFont="1" applyFill="1" applyBorder="1" applyAlignment="1" applyProtection="1">
      <alignment/>
      <protection/>
    </xf>
    <xf numFmtId="0" fontId="4" fillId="0" borderId="50" xfId="0" applyFont="1" applyBorder="1" applyAlignment="1" applyProtection="1">
      <alignment horizontal="center" wrapText="1"/>
      <protection locked="0"/>
    </xf>
    <xf numFmtId="0" fontId="4" fillId="0" borderId="47" xfId="0" applyFont="1" applyBorder="1" applyAlignment="1">
      <alignment horizontal="center" vertical="center" wrapText="1"/>
    </xf>
    <xf numFmtId="167" fontId="4" fillId="0" borderId="4" xfId="17" applyNumberFormat="1" applyFont="1" applyFill="1" applyBorder="1" applyAlignment="1" applyProtection="1">
      <alignment horizontal="center"/>
      <protection/>
    </xf>
    <xf numFmtId="167" fontId="4" fillId="0" borderId="48" xfId="17" applyNumberFormat="1" applyFont="1" applyFill="1" applyBorder="1" applyAlignment="1" applyProtection="1">
      <alignment horizontal="center"/>
      <protection/>
    </xf>
    <xf numFmtId="5" fontId="4" fillId="5" borderId="2" xfId="0" applyNumberFormat="1" applyFont="1" applyFill="1" applyBorder="1" applyAlignment="1" applyProtection="1">
      <alignment/>
      <protection/>
    </xf>
    <xf numFmtId="5" fontId="4" fillId="5" borderId="4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5" fontId="4" fillId="6" borderId="0" xfId="0" applyNumberFormat="1" applyFont="1" applyFill="1" applyBorder="1" applyAlignment="1" applyProtection="1">
      <alignment/>
      <protection/>
    </xf>
    <xf numFmtId="9" fontId="4" fillId="2" borderId="0" xfId="21" applyFont="1" applyFill="1" applyBorder="1" applyAlignment="1" applyProtection="1">
      <alignment/>
      <protection/>
    </xf>
    <xf numFmtId="166" fontId="4" fillId="2" borderId="0" xfId="15" applyNumberFormat="1" applyFont="1" applyFill="1" applyBorder="1" applyAlignment="1" applyProtection="1">
      <alignment/>
      <protection/>
    </xf>
    <xf numFmtId="10" fontId="4" fillId="2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173" fontId="12" fillId="0" borderId="28" xfId="0" applyNumberFormat="1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/>
      <protection/>
    </xf>
    <xf numFmtId="173" fontId="12" fillId="0" borderId="25" xfId="0" applyNumberFormat="1" applyFont="1" applyFill="1" applyBorder="1" applyAlignment="1" applyProtection="1">
      <alignment/>
      <protection/>
    </xf>
    <xf numFmtId="0" fontId="22" fillId="0" borderId="34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left"/>
    </xf>
    <xf numFmtId="5" fontId="22" fillId="0" borderId="35" xfId="0" applyNumberFormat="1" applyFont="1" applyFill="1" applyBorder="1" applyAlignment="1" applyProtection="1">
      <alignment/>
      <protection/>
    </xf>
    <xf numFmtId="173" fontId="22" fillId="0" borderId="35" xfId="0" applyNumberFormat="1" applyFont="1" applyFill="1" applyBorder="1" applyAlignment="1" applyProtection="1">
      <alignment/>
      <protection/>
    </xf>
    <xf numFmtId="173" fontId="22" fillId="0" borderId="36" xfId="0" applyNumberFormat="1" applyFont="1" applyFill="1" applyBorder="1" applyAlignment="1" applyProtection="1">
      <alignment/>
      <protection/>
    </xf>
    <xf numFmtId="5" fontId="22" fillId="0" borderId="36" xfId="0" applyNumberFormat="1" applyFont="1" applyFill="1" applyBorder="1" applyAlignment="1" applyProtection="1">
      <alignment/>
      <protection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5" fontId="22" fillId="0" borderId="51" xfId="0" applyNumberFormat="1" applyFont="1" applyFill="1" applyBorder="1" applyAlignment="1" applyProtection="1">
      <alignment/>
      <protection/>
    </xf>
    <xf numFmtId="173" fontId="22" fillId="0" borderId="51" xfId="0" applyNumberFormat="1" applyFont="1" applyFill="1" applyBorder="1" applyAlignment="1" applyProtection="1">
      <alignment/>
      <protection/>
    </xf>
    <xf numFmtId="173" fontId="22" fillId="0" borderId="52" xfId="0" applyNumberFormat="1" applyFont="1" applyFill="1" applyBorder="1" applyAlignment="1" applyProtection="1">
      <alignment/>
      <protection/>
    </xf>
    <xf numFmtId="5" fontId="22" fillId="0" borderId="52" xfId="0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3" fillId="0" borderId="51" xfId="0" applyFont="1" applyFill="1" applyBorder="1" applyAlignment="1">
      <alignment/>
    </xf>
    <xf numFmtId="0" fontId="23" fillId="0" borderId="53" xfId="0" applyFont="1" applyFill="1" applyBorder="1" applyAlignment="1">
      <alignment/>
    </xf>
    <xf numFmtId="173" fontId="23" fillId="0" borderId="53" xfId="0" applyNumberFormat="1" applyFont="1" applyFill="1" applyBorder="1" applyAlignment="1" applyProtection="1">
      <alignment/>
      <protection/>
    </xf>
    <xf numFmtId="173" fontId="23" fillId="0" borderId="0" xfId="0" applyNumberFormat="1" applyFont="1" applyFill="1" applyAlignment="1" applyProtection="1">
      <alignment/>
      <protection/>
    </xf>
    <xf numFmtId="0" fontId="22" fillId="0" borderId="23" xfId="0" applyFont="1" applyFill="1" applyBorder="1" applyAlignment="1">
      <alignment horizontal="left"/>
    </xf>
    <xf numFmtId="0" fontId="22" fillId="0" borderId="24" xfId="0" applyFont="1" applyFill="1" applyBorder="1" applyAlignment="1">
      <alignment/>
    </xf>
    <xf numFmtId="0" fontId="22" fillId="0" borderId="24" xfId="0" applyFont="1" applyFill="1" applyBorder="1" applyAlignment="1">
      <alignment horizontal="left"/>
    </xf>
    <xf numFmtId="5" fontId="22" fillId="0" borderId="54" xfId="0" applyNumberFormat="1" applyFont="1" applyFill="1" applyBorder="1" applyAlignment="1" applyProtection="1">
      <alignment/>
      <protection/>
    </xf>
    <xf numFmtId="173" fontId="22" fillId="0" borderId="54" xfId="0" applyNumberFormat="1" applyFont="1" applyFill="1" applyBorder="1" applyAlignment="1" applyProtection="1">
      <alignment/>
      <protection/>
    </xf>
    <xf numFmtId="173" fontId="22" fillId="0" borderId="25" xfId="0" applyNumberFormat="1" applyFont="1" applyFill="1" applyBorder="1" applyAlignment="1" applyProtection="1">
      <alignment/>
      <protection/>
    </xf>
    <xf numFmtId="5" fontId="22" fillId="0" borderId="25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166" fontId="27" fillId="0" borderId="1" xfId="15" applyNumberFormat="1" applyFont="1" applyBorder="1" applyAlignment="1">
      <alignment horizontal="center"/>
    </xf>
    <xf numFmtId="166" fontId="27" fillId="0" borderId="1" xfId="15" applyNumberFormat="1" applyFont="1" applyBorder="1" applyAlignment="1">
      <alignment/>
    </xf>
    <xf numFmtId="9" fontId="28" fillId="4" borderId="1" xfId="0" applyNumberFormat="1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173" fontId="29" fillId="0" borderId="56" xfId="0" applyNumberFormat="1" applyFont="1" applyFill="1" applyBorder="1" applyAlignment="1" applyProtection="1">
      <alignment horizontal="center"/>
      <protection/>
    </xf>
    <xf numFmtId="0" fontId="29" fillId="0" borderId="19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173" fontId="29" fillId="0" borderId="51" xfId="0" applyNumberFormat="1" applyFont="1" applyFill="1" applyBorder="1" applyAlignment="1" applyProtection="1">
      <alignment horizontal="center"/>
      <protection/>
    </xf>
    <xf numFmtId="0" fontId="29" fillId="0" borderId="52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left"/>
    </xf>
    <xf numFmtId="0" fontId="29" fillId="0" borderId="54" xfId="0" applyFont="1" applyFill="1" applyBorder="1" applyAlignment="1">
      <alignment horizontal="center"/>
    </xf>
    <xf numFmtId="173" fontId="29" fillId="0" borderId="54" xfId="0" applyNumberFormat="1" applyFont="1" applyFill="1" applyBorder="1" applyAlignment="1" applyProtection="1">
      <alignment horizontal="center"/>
      <protection/>
    </xf>
    <xf numFmtId="0" fontId="29" fillId="0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/>
    </xf>
    <xf numFmtId="0" fontId="3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4" fillId="0" borderId="13" xfId="0" applyFont="1" applyBorder="1" applyAlignment="1">
      <alignment/>
    </xf>
    <xf numFmtId="166" fontId="34" fillId="0" borderId="13" xfId="15" applyNumberFormat="1" applyFont="1" applyBorder="1" applyAlignment="1">
      <alignment/>
    </xf>
    <xf numFmtId="167" fontId="34" fillId="0" borderId="13" xfId="15" applyNumberFormat="1" applyFont="1" applyBorder="1" applyAlignment="1">
      <alignment/>
    </xf>
    <xf numFmtId="5" fontId="34" fillId="0" borderId="13" xfId="17" applyNumberFormat="1" applyFont="1" applyBorder="1" applyAlignment="1">
      <alignment/>
    </xf>
    <xf numFmtId="6" fontId="34" fillId="0" borderId="13" xfId="17" applyNumberFormat="1" applyFont="1" applyBorder="1" applyAlignment="1">
      <alignment/>
    </xf>
    <xf numFmtId="6" fontId="34" fillId="0" borderId="13" xfId="0" applyNumberFormat="1" applyFont="1" applyBorder="1" applyAlignment="1">
      <alignment/>
    </xf>
    <xf numFmtId="0" fontId="34" fillId="0" borderId="58" xfId="0" applyFont="1" applyBorder="1" applyAlignment="1" applyProtection="1">
      <alignment/>
      <protection/>
    </xf>
    <xf numFmtId="0" fontId="27" fillId="0" borderId="44" xfId="0" applyFont="1" applyFill="1" applyBorder="1" applyAlignment="1" applyProtection="1">
      <alignment horizontal="center"/>
      <protection/>
    </xf>
    <xf numFmtId="0" fontId="34" fillId="2" borderId="3" xfId="0" applyFont="1" applyFill="1" applyBorder="1" applyAlignment="1" applyProtection="1">
      <alignment horizontal="center"/>
      <protection/>
    </xf>
    <xf numFmtId="5" fontId="34" fillId="6" borderId="3" xfId="0" applyNumberFormat="1" applyFont="1" applyFill="1" applyBorder="1" applyAlignment="1" applyProtection="1">
      <alignment/>
      <protection/>
    </xf>
    <xf numFmtId="5" fontId="34" fillId="2" borderId="3" xfId="0" applyNumberFormat="1" applyFont="1" applyFill="1" applyBorder="1" applyAlignment="1" applyProtection="1">
      <alignment/>
      <protection/>
    </xf>
    <xf numFmtId="9" fontId="28" fillId="4" borderId="1" xfId="21" applyFont="1" applyFill="1" applyBorder="1" applyAlignment="1">
      <alignment horizontal="right"/>
    </xf>
    <xf numFmtId="0" fontId="38" fillId="0" borderId="11" xfId="0" applyFont="1" applyBorder="1" applyAlignment="1">
      <alignment horizontal="center"/>
    </xf>
    <xf numFmtId="9" fontId="28" fillId="4" borderId="1" xfId="0" applyNumberFormat="1" applyFont="1" applyFill="1" applyBorder="1" applyAlignment="1">
      <alignment horizontal="right"/>
    </xf>
    <xf numFmtId="0" fontId="30" fillId="0" borderId="1" xfId="0" applyFont="1" applyBorder="1" applyAlignment="1">
      <alignment horizontal="center"/>
    </xf>
    <xf numFmtId="166" fontId="27" fillId="0" borderId="1" xfId="15" applyNumberFormat="1" applyFont="1" applyBorder="1" applyAlignment="1" quotePrefix="1">
      <alignment horizontal="center"/>
    </xf>
    <xf numFmtId="166" fontId="27" fillId="0" borderId="1" xfId="15" applyNumberFormat="1" applyFont="1" applyBorder="1" applyAlignment="1" quotePrefix="1">
      <alignment/>
    </xf>
    <xf numFmtId="3" fontId="34" fillId="0" borderId="13" xfId="0" applyNumberFormat="1" applyFont="1" applyBorder="1" applyAlignment="1">
      <alignment/>
    </xf>
    <xf numFmtId="167" fontId="34" fillId="0" borderId="13" xfId="0" applyNumberFormat="1" applyFont="1" applyBorder="1" applyAlignment="1">
      <alignment/>
    </xf>
    <xf numFmtId="171" fontId="34" fillId="0" borderId="13" xfId="0" applyNumberFormat="1" applyFont="1" applyBorder="1" applyAlignment="1">
      <alignment/>
    </xf>
    <xf numFmtId="10" fontId="34" fillId="0" borderId="13" xfId="0" applyNumberFormat="1" applyFont="1" applyBorder="1" applyAlignment="1">
      <alignment/>
    </xf>
    <xf numFmtId="10" fontId="34" fillId="0" borderId="13" xfId="21" applyNumberFormat="1" applyFont="1" applyBorder="1" applyAlignment="1">
      <alignment/>
    </xf>
    <xf numFmtId="0" fontId="32" fillId="0" borderId="0" xfId="0" applyFont="1" applyAlignment="1">
      <alignment horizontal="left"/>
    </xf>
    <xf numFmtId="9" fontId="28" fillId="4" borderId="11" xfId="0" applyNumberFormat="1" applyFont="1" applyFill="1" applyBorder="1" applyAlignment="1">
      <alignment horizontal="center"/>
    </xf>
    <xf numFmtId="8" fontId="34" fillId="0" borderId="13" xfId="0" applyNumberFormat="1" applyFont="1" applyBorder="1" applyAlignment="1">
      <alignment/>
    </xf>
    <xf numFmtId="0" fontId="27" fillId="0" borderId="1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16" xfId="0" applyBorder="1" applyAlignment="1">
      <alignment/>
    </xf>
    <xf numFmtId="15" fontId="3" fillId="0" borderId="59" xfId="0" applyNumberFormat="1" applyFont="1" applyBorder="1" applyAlignment="1">
      <alignment horizontal="center"/>
    </xf>
    <xf numFmtId="0" fontId="27" fillId="7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wrapText="1"/>
    </xf>
    <xf numFmtId="179" fontId="34" fillId="0" borderId="13" xfId="15" applyNumberFormat="1" applyFont="1" applyBorder="1" applyAlignment="1">
      <alignment/>
    </xf>
    <xf numFmtId="37" fontId="34" fillId="0" borderId="13" xfId="17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172" fontId="34" fillId="0" borderId="13" xfId="0" applyNumberFormat="1" applyFont="1" applyBorder="1" applyAlignment="1">
      <alignment/>
    </xf>
    <xf numFmtId="43" fontId="34" fillId="0" borderId="13" xfId="15" applyFont="1" applyBorder="1" applyAlignment="1">
      <alignment/>
    </xf>
    <xf numFmtId="6" fontId="0" fillId="0" borderId="2" xfId="0" applyNumberFormat="1" applyFont="1" applyBorder="1" applyAlignment="1" applyProtection="1">
      <alignment/>
      <protection/>
    </xf>
    <xf numFmtId="6" fontId="0" fillId="0" borderId="4" xfId="0" applyNumberFormat="1" applyFont="1" applyBorder="1" applyAlignment="1" applyProtection="1">
      <alignment/>
      <protection/>
    </xf>
    <xf numFmtId="6" fontId="0" fillId="0" borderId="2" xfId="0" applyNumberFormat="1" applyFont="1" applyFill="1" applyBorder="1" applyAlignment="1" applyProtection="1">
      <alignment/>
      <protection/>
    </xf>
    <xf numFmtId="6" fontId="34" fillId="2" borderId="3" xfId="0" applyNumberFormat="1" applyFont="1" applyFill="1" applyBorder="1" applyAlignment="1" applyProtection="1">
      <alignment/>
      <protection/>
    </xf>
    <xf numFmtId="0" fontId="30" fillId="9" borderId="1" xfId="0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wrapText="1"/>
    </xf>
    <xf numFmtId="0" fontId="39" fillId="9" borderId="1" xfId="0" applyFont="1" applyFill="1" applyBorder="1" applyAlignment="1">
      <alignment horizontal="center" wrapText="1"/>
    </xf>
    <xf numFmtId="38" fontId="12" fillId="0" borderId="35" xfId="0" applyNumberFormat="1" applyFont="1" applyFill="1" applyBorder="1" applyAlignment="1" applyProtection="1">
      <alignment/>
      <protection/>
    </xf>
    <xf numFmtId="38" fontId="12" fillId="0" borderId="30" xfId="0" applyNumberFormat="1" applyFont="1" applyFill="1" applyBorder="1" applyAlignment="1" applyProtection="1">
      <alignment/>
      <protection/>
    </xf>
    <xf numFmtId="166" fontId="27" fillId="10" borderId="1" xfId="15" applyNumberFormat="1" applyFont="1" applyFill="1" applyBorder="1" applyAlignment="1" quotePrefix="1">
      <alignment horizontal="center"/>
    </xf>
    <xf numFmtId="166" fontId="27" fillId="10" borderId="1" xfId="15" applyNumberFormat="1" applyFont="1" applyFill="1" applyBorder="1" applyAlignment="1" quotePrefix="1">
      <alignment/>
    </xf>
    <xf numFmtId="166" fontId="41" fillId="0" borderId="11" xfId="15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34" fillId="0" borderId="10" xfId="0" applyFont="1" applyFill="1" applyBorder="1" applyAlignment="1" applyProtection="1">
      <alignment horizontal="center" wrapText="1"/>
      <protection locked="0"/>
    </xf>
    <xf numFmtId="0" fontId="34" fillId="0" borderId="2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71" fontId="30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6" fontId="27" fillId="0" borderId="0" xfId="0" applyNumberFormat="1" applyFont="1" applyAlignment="1">
      <alignment horizontal="center"/>
    </xf>
    <xf numFmtId="0" fontId="30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4" fillId="9" borderId="60" xfId="0" applyFont="1" applyFill="1" applyBorder="1" applyAlignment="1" applyProtection="1">
      <alignment horizontal="centerContinuous"/>
      <protection locked="0"/>
    </xf>
    <xf numFmtId="0" fontId="34" fillId="9" borderId="60" xfId="0" applyFont="1" applyFill="1" applyBorder="1" applyAlignment="1" applyProtection="1">
      <alignment horizontal="centerContinuous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66" fontId="0" fillId="0" borderId="11" xfId="15" applyNumberFormat="1" applyBorder="1" applyAlignment="1">
      <alignment horizontal="right"/>
    </xf>
    <xf numFmtId="166" fontId="0" fillId="0" borderId="11" xfId="15" applyNumberFormat="1" applyBorder="1" applyAlignment="1">
      <alignment/>
    </xf>
    <xf numFmtId="166" fontId="0" fillId="0" borderId="12" xfId="15" applyNumberFormat="1" applyBorder="1" applyAlignment="1">
      <alignment/>
    </xf>
    <xf numFmtId="166" fontId="0" fillId="0" borderId="12" xfId="15" applyNumberFormat="1" applyBorder="1" applyAlignment="1">
      <alignment horizontal="right"/>
    </xf>
    <xf numFmtId="166" fontId="0" fillId="0" borderId="15" xfId="15" applyNumberFormat="1" applyBorder="1" applyAlignment="1">
      <alignment horizontal="right"/>
    </xf>
    <xf numFmtId="166" fontId="0" fillId="0" borderId="15" xfId="15" applyNumberFormat="1" applyBorder="1" applyAlignment="1">
      <alignment/>
    </xf>
    <xf numFmtId="0" fontId="4" fillId="0" borderId="14" xfId="0" applyFont="1" applyBorder="1" applyAlignment="1">
      <alignment/>
    </xf>
    <xf numFmtId="166" fontId="4" fillId="0" borderId="13" xfId="15" applyNumberFormat="1" applyFont="1" applyBorder="1" applyAlignment="1">
      <alignment/>
    </xf>
    <xf numFmtId="0" fontId="0" fillId="0" borderId="64" xfId="0" applyBorder="1" applyAlignment="1">
      <alignment horizontal="justify"/>
    </xf>
    <xf numFmtId="0" fontId="0" fillId="0" borderId="15" xfId="0" applyBorder="1" applyAlignment="1" quotePrefix="1">
      <alignment/>
    </xf>
    <xf numFmtId="166" fontId="0" fillId="0" borderId="12" xfId="15" applyNumberFormat="1" applyFont="1" applyBorder="1" applyAlignment="1" quotePrefix="1">
      <alignment horizontal="center"/>
    </xf>
    <xf numFmtId="166" fontId="0" fillId="0" borderId="15" xfId="15" applyNumberFormat="1" applyFont="1" applyBorder="1" applyAlignment="1" quotePrefix="1">
      <alignment horizontal="center"/>
    </xf>
    <xf numFmtId="49" fontId="27" fillId="0" borderId="4" xfId="0" applyNumberFormat="1" applyFont="1" applyFill="1" applyBorder="1" applyAlignment="1" applyProtection="1">
      <alignment horizontal="center"/>
      <protection/>
    </xf>
    <xf numFmtId="16" fontId="0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46" fillId="0" borderId="0" xfId="0" applyFont="1" applyBorder="1" applyAlignment="1">
      <alignment horizontal="center" vertical="center"/>
    </xf>
    <xf numFmtId="6" fontId="0" fillId="0" borderId="0" xfId="0" applyNumberFormat="1" applyAlignment="1">
      <alignment/>
    </xf>
    <xf numFmtId="5" fontId="12" fillId="0" borderId="0" xfId="0" applyNumberFormat="1" applyFont="1" applyFill="1" applyBorder="1" applyAlignment="1" applyProtection="1">
      <alignment/>
      <protection/>
    </xf>
    <xf numFmtId="2" fontId="34" fillId="0" borderId="13" xfId="0" applyNumberFormat="1" applyFont="1" applyBorder="1" applyAlignment="1">
      <alignment/>
    </xf>
    <xf numFmtId="4" fontId="0" fillId="0" borderId="12" xfId="15" applyNumberFormat="1" applyFont="1" applyBorder="1" applyAlignment="1">
      <alignment/>
    </xf>
    <xf numFmtId="4" fontId="0" fillId="0" borderId="15" xfId="15" applyNumberFormat="1" applyFont="1" applyBorder="1" applyAlignment="1">
      <alignment/>
    </xf>
    <xf numFmtId="43" fontId="34" fillId="0" borderId="13" xfId="15" applyNumberFormat="1" applyFont="1" applyBorder="1" applyAlignment="1">
      <alignment/>
    </xf>
    <xf numFmtId="49" fontId="27" fillId="0" borderId="4" xfId="0" applyNumberFormat="1" applyFont="1" applyBorder="1" applyAlignment="1" applyProtection="1">
      <alignment horizontal="center"/>
      <protection/>
    </xf>
    <xf numFmtId="49" fontId="27" fillId="0" borderId="65" xfId="0" applyNumberFormat="1" applyFont="1" applyBorder="1" applyAlignment="1" applyProtection="1">
      <alignment horizontal="center"/>
      <protection/>
    </xf>
    <xf numFmtId="5" fontId="4" fillId="5" borderId="66" xfId="0" applyNumberFormat="1" applyFont="1" applyFill="1" applyBorder="1" applyAlignment="1" applyProtection="1">
      <alignment/>
      <protection/>
    </xf>
    <xf numFmtId="5" fontId="4" fillId="5" borderId="65" xfId="0" applyNumberFormat="1" applyFont="1" applyFill="1" applyBorder="1" applyAlignment="1" applyProtection="1">
      <alignment/>
      <protection/>
    </xf>
    <xf numFmtId="5" fontId="4" fillId="0" borderId="2" xfId="0" applyNumberFormat="1" applyFont="1" applyBorder="1" applyAlignment="1" applyProtection="1">
      <alignment/>
      <protection/>
    </xf>
    <xf numFmtId="5" fontId="4" fillId="0" borderId="4" xfId="0" applyNumberFormat="1" applyFont="1" applyBorder="1" applyAlignment="1" applyProtection="1">
      <alignment/>
      <protection/>
    </xf>
    <xf numFmtId="5" fontId="4" fillId="0" borderId="45" xfId="0" applyNumberFormat="1" applyFont="1" applyFill="1" applyBorder="1" applyAlignment="1" applyProtection="1">
      <alignment/>
      <protection/>
    </xf>
    <xf numFmtId="5" fontId="34" fillId="6" borderId="46" xfId="0" applyNumberFormat="1" applyFont="1" applyFill="1" applyBorder="1" applyAlignment="1" applyProtection="1">
      <alignment/>
      <protection/>
    </xf>
    <xf numFmtId="0" fontId="0" fillId="0" borderId="67" xfId="0" applyFont="1" applyBorder="1" applyAlignment="1">
      <alignment/>
    </xf>
    <xf numFmtId="5" fontId="34" fillId="2" borderId="68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left" wrapText="1"/>
    </xf>
    <xf numFmtId="6" fontId="27" fillId="0" borderId="15" xfId="0" applyNumberFormat="1" applyFont="1" applyBorder="1" applyAlignment="1">
      <alignment horizontal="center"/>
    </xf>
    <xf numFmtId="0" fontId="34" fillId="9" borderId="1" xfId="0" applyFont="1" applyFill="1" applyBorder="1" applyAlignment="1">
      <alignment horizontal="center" wrapText="1"/>
    </xf>
    <xf numFmtId="0" fontId="14" fillId="0" borderId="0" xfId="0" applyFont="1" applyAlignment="1" applyProtection="1">
      <alignment horizontal="center" wrapText="1"/>
      <protection locked="0"/>
    </xf>
    <xf numFmtId="0" fontId="10" fillId="0" borderId="2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53" xfId="0" applyFont="1" applyFill="1" applyBorder="1" applyAlignment="1">
      <alignment horizontal="left" vertical="top"/>
    </xf>
    <xf numFmtId="5" fontId="12" fillId="0" borderId="51" xfId="0" applyNumberFormat="1" applyFont="1" applyFill="1" applyBorder="1" applyAlignment="1" applyProtection="1">
      <alignment vertical="top"/>
      <protection/>
    </xf>
    <xf numFmtId="173" fontId="12" fillId="0" borderId="51" xfId="0" applyNumberFormat="1" applyFont="1" applyFill="1" applyBorder="1" applyAlignment="1" applyProtection="1">
      <alignment vertical="top"/>
      <protection/>
    </xf>
    <xf numFmtId="173" fontId="12" fillId="0" borderId="52" xfId="0" applyNumberFormat="1" applyFont="1" applyFill="1" applyBorder="1" applyAlignment="1" applyProtection="1">
      <alignment vertical="top"/>
      <protection/>
    </xf>
    <xf numFmtId="5" fontId="12" fillId="0" borderId="52" xfId="0" applyNumberFormat="1" applyFont="1" applyFill="1" applyBorder="1" applyAlignment="1" applyProtection="1">
      <alignment vertical="top"/>
      <protection/>
    </xf>
    <xf numFmtId="173" fontId="12" fillId="0" borderId="0" xfId="0" applyNumberFormat="1" applyFont="1" applyFill="1" applyBorder="1" applyAlignment="1" applyProtection="1">
      <alignment vertical="top"/>
      <protection/>
    </xf>
    <xf numFmtId="0" fontId="10" fillId="0" borderId="69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left"/>
    </xf>
    <xf numFmtId="0" fontId="10" fillId="0" borderId="71" xfId="0" applyFont="1" applyFill="1" applyBorder="1" applyAlignment="1">
      <alignment horizontal="left"/>
    </xf>
    <xf numFmtId="37" fontId="12" fillId="0" borderId="72" xfId="0" applyNumberFormat="1" applyFont="1" applyFill="1" applyBorder="1" applyAlignment="1" applyProtection="1">
      <alignment/>
      <protection/>
    </xf>
    <xf numFmtId="173" fontId="12" fillId="0" borderId="72" xfId="0" applyNumberFormat="1" applyFont="1" applyFill="1" applyBorder="1" applyAlignment="1" applyProtection="1">
      <alignment/>
      <protection/>
    </xf>
    <xf numFmtId="173" fontId="12" fillId="0" borderId="73" xfId="0" applyNumberFormat="1" applyFont="1" applyFill="1" applyBorder="1" applyAlignment="1" applyProtection="1">
      <alignment/>
      <protection/>
    </xf>
    <xf numFmtId="37" fontId="12" fillId="0" borderId="73" xfId="0" applyNumberFormat="1" applyFont="1" applyFill="1" applyBorder="1" applyAlignment="1" applyProtection="1">
      <alignment/>
      <protection/>
    </xf>
    <xf numFmtId="38" fontId="12" fillId="0" borderId="72" xfId="0" applyNumberFormat="1" applyFont="1" applyFill="1" applyBorder="1" applyAlignment="1" applyProtection="1">
      <alignment/>
      <protection/>
    </xf>
    <xf numFmtId="173" fontId="12" fillId="0" borderId="70" xfId="0" applyNumberFormat="1" applyFont="1" applyFill="1" applyBorder="1" applyAlignment="1" applyProtection="1">
      <alignment/>
      <protection/>
    </xf>
    <xf numFmtId="0" fontId="10" fillId="0" borderId="74" xfId="0" applyFont="1" applyFill="1" applyBorder="1" applyAlignment="1">
      <alignment horizontal="center"/>
    </xf>
    <xf numFmtId="0" fontId="10" fillId="0" borderId="75" xfId="0" applyFont="1" applyFill="1" applyBorder="1" applyAlignment="1">
      <alignment/>
    </xf>
    <xf numFmtId="0" fontId="10" fillId="0" borderId="76" xfId="0" applyFont="1" applyFill="1" applyBorder="1" applyAlignment="1">
      <alignment/>
    </xf>
    <xf numFmtId="37" fontId="12" fillId="0" borderId="77" xfId="0" applyNumberFormat="1" applyFont="1" applyFill="1" applyBorder="1" applyAlignment="1" applyProtection="1">
      <alignment horizontal="right"/>
      <protection/>
    </xf>
    <xf numFmtId="173" fontId="12" fillId="0" borderId="77" xfId="0" applyNumberFormat="1" applyFont="1" applyFill="1" applyBorder="1" applyAlignment="1" applyProtection="1">
      <alignment horizontal="right"/>
      <protection/>
    </xf>
    <xf numFmtId="173" fontId="12" fillId="0" borderId="78" xfId="0" applyNumberFormat="1" applyFont="1" applyFill="1" applyBorder="1" applyAlignment="1" applyProtection="1">
      <alignment horizontal="right"/>
      <protection/>
    </xf>
    <xf numFmtId="37" fontId="12" fillId="0" borderId="78" xfId="0" applyNumberFormat="1" applyFont="1" applyFill="1" applyBorder="1" applyAlignment="1" applyProtection="1">
      <alignment horizontal="right"/>
      <protection/>
    </xf>
    <xf numFmtId="173" fontId="12" fillId="0" borderId="75" xfId="0" applyNumberFormat="1" applyFont="1" applyFill="1" applyBorder="1" applyAlignment="1" applyProtection="1">
      <alignment/>
      <protection/>
    </xf>
    <xf numFmtId="0" fontId="10" fillId="0" borderId="75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left"/>
    </xf>
    <xf numFmtId="5" fontId="12" fillId="0" borderId="77" xfId="0" applyNumberFormat="1" applyFont="1" applyFill="1" applyBorder="1" applyAlignment="1" applyProtection="1">
      <alignment/>
      <protection/>
    </xf>
    <xf numFmtId="173" fontId="12" fillId="0" borderId="77" xfId="0" applyNumberFormat="1" applyFont="1" applyFill="1" applyBorder="1" applyAlignment="1" applyProtection="1">
      <alignment/>
      <protection/>
    </xf>
    <xf numFmtId="173" fontId="12" fillId="0" borderId="78" xfId="0" applyNumberFormat="1" applyFont="1" applyFill="1" applyBorder="1" applyAlignment="1" applyProtection="1">
      <alignment/>
      <protection/>
    </xf>
    <xf numFmtId="5" fontId="12" fillId="0" borderId="78" xfId="0" applyNumberFormat="1" applyFont="1" applyFill="1" applyBorder="1" applyAlignment="1" applyProtection="1">
      <alignment/>
      <protection/>
    </xf>
    <xf numFmtId="0" fontId="10" fillId="0" borderId="79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left"/>
    </xf>
    <xf numFmtId="5" fontId="12" fillId="0" borderId="81" xfId="0" applyNumberFormat="1" applyFont="1" applyFill="1" applyBorder="1" applyAlignment="1" applyProtection="1">
      <alignment/>
      <protection/>
    </xf>
    <xf numFmtId="10" fontId="12" fillId="0" borderId="81" xfId="0" applyNumberFormat="1" applyFont="1" applyFill="1" applyBorder="1" applyAlignment="1" applyProtection="1">
      <alignment/>
      <protection/>
    </xf>
    <xf numFmtId="173" fontId="12" fillId="0" borderId="81" xfId="0" applyNumberFormat="1" applyFont="1" applyFill="1" applyBorder="1" applyAlignment="1" applyProtection="1">
      <alignment/>
      <protection/>
    </xf>
    <xf numFmtId="173" fontId="12" fillId="0" borderId="82" xfId="0" applyNumberFormat="1" applyFont="1" applyFill="1" applyBorder="1" applyAlignment="1" applyProtection="1">
      <alignment/>
      <protection/>
    </xf>
    <xf numFmtId="173" fontId="12" fillId="0" borderId="8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left"/>
    </xf>
    <xf numFmtId="0" fontId="22" fillId="0" borderId="79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22" fillId="0" borderId="80" xfId="0" applyFont="1" applyFill="1" applyBorder="1" applyAlignment="1">
      <alignment/>
    </xf>
    <xf numFmtId="5" fontId="22" fillId="0" borderId="81" xfId="0" applyNumberFormat="1" applyFont="1" applyFill="1" applyBorder="1" applyAlignment="1" applyProtection="1">
      <alignment/>
      <protection/>
    </xf>
    <xf numFmtId="173" fontId="22" fillId="0" borderId="81" xfId="0" applyNumberFormat="1" applyFont="1" applyFill="1" applyBorder="1" applyAlignment="1" applyProtection="1">
      <alignment/>
      <protection/>
    </xf>
    <xf numFmtId="173" fontId="22" fillId="0" borderId="82" xfId="0" applyNumberFormat="1" applyFont="1" applyFill="1" applyBorder="1" applyAlignment="1" applyProtection="1">
      <alignment/>
      <protection/>
    </xf>
    <xf numFmtId="5" fontId="22" fillId="0" borderId="82" xfId="0" applyNumberFormat="1" applyFont="1" applyFill="1" applyBorder="1" applyAlignment="1" applyProtection="1">
      <alignment/>
      <protection/>
    </xf>
    <xf numFmtId="6" fontId="22" fillId="0" borderId="81" xfId="0" applyNumberFormat="1" applyFont="1" applyFill="1" applyBorder="1" applyAlignment="1" applyProtection="1">
      <alignment/>
      <protection/>
    </xf>
    <xf numFmtId="0" fontId="24" fillId="0" borderId="75" xfId="0" applyFont="1" applyFill="1" applyBorder="1" applyAlignment="1">
      <alignment horizontal="left"/>
    </xf>
    <xf numFmtId="0" fontId="23" fillId="0" borderId="75" xfId="0" applyFont="1" applyFill="1" applyBorder="1" applyAlignment="1">
      <alignment/>
    </xf>
    <xf numFmtId="5" fontId="22" fillId="0" borderId="77" xfId="0" applyNumberFormat="1" applyFont="1" applyFill="1" applyBorder="1" applyAlignment="1" applyProtection="1">
      <alignment/>
      <protection/>
    </xf>
    <xf numFmtId="173" fontId="22" fillId="0" borderId="77" xfId="0" applyNumberFormat="1" applyFont="1" applyFill="1" applyBorder="1" applyAlignment="1" applyProtection="1">
      <alignment/>
      <protection/>
    </xf>
    <xf numFmtId="173" fontId="22" fillId="0" borderId="78" xfId="0" applyNumberFormat="1" applyFont="1" applyFill="1" applyBorder="1" applyAlignment="1" applyProtection="1">
      <alignment/>
      <protection/>
    </xf>
    <xf numFmtId="5" fontId="22" fillId="0" borderId="78" xfId="0" applyNumberFormat="1" applyFont="1" applyFill="1" applyBorder="1" applyAlignment="1" applyProtection="1">
      <alignment/>
      <protection/>
    </xf>
    <xf numFmtId="6" fontId="22" fillId="0" borderId="77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5" fontId="12" fillId="0" borderId="51" xfId="0" applyNumberFormat="1" applyFont="1" applyFill="1" applyBorder="1" applyAlignment="1" applyProtection="1">
      <alignment/>
      <protection/>
    </xf>
    <xf numFmtId="0" fontId="12" fillId="0" borderId="74" xfId="0" applyFont="1" applyFill="1" applyBorder="1" applyAlignment="1">
      <alignment/>
    </xf>
    <xf numFmtId="173" fontId="10" fillId="0" borderId="35" xfId="0" applyNumberFormat="1" applyFont="1" applyFill="1" applyBorder="1" applyAlignment="1" applyProtection="1">
      <alignment/>
      <protection/>
    </xf>
    <xf numFmtId="5" fontId="10" fillId="0" borderId="36" xfId="0" applyNumberFormat="1" applyFont="1" applyFill="1" applyBorder="1" applyAlignment="1" applyProtection="1">
      <alignment/>
      <protection/>
    </xf>
    <xf numFmtId="5" fontId="12" fillId="0" borderId="82" xfId="0" applyNumberFormat="1" applyFont="1" applyFill="1" applyBorder="1" applyAlignment="1" applyProtection="1">
      <alignment/>
      <protection/>
    </xf>
    <xf numFmtId="0" fontId="22" fillId="0" borderId="8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53" xfId="0" applyFont="1" applyFill="1" applyBorder="1" applyAlignment="1">
      <alignment horizontal="left"/>
    </xf>
    <xf numFmtId="5" fontId="10" fillId="0" borderId="83" xfId="0" applyNumberFormat="1" applyFont="1" applyFill="1" applyBorder="1" applyAlignment="1" applyProtection="1">
      <alignment/>
      <protection/>
    </xf>
    <xf numFmtId="5" fontId="10" fillId="0" borderId="84" xfId="0" applyNumberFormat="1" applyFont="1" applyFill="1" applyBorder="1" applyAlignment="1" applyProtection="1">
      <alignment/>
      <protection/>
    </xf>
    <xf numFmtId="5" fontId="12" fillId="0" borderId="83" xfId="0" applyNumberFormat="1" applyFont="1" applyFill="1" applyBorder="1" applyAlignment="1" applyProtection="1">
      <alignment/>
      <protection/>
    </xf>
    <xf numFmtId="5" fontId="12" fillId="0" borderId="22" xfId="0" applyNumberFormat="1" applyFont="1" applyFill="1" applyBorder="1" applyAlignment="1" applyProtection="1">
      <alignment/>
      <protection/>
    </xf>
    <xf numFmtId="173" fontId="12" fillId="0" borderId="84" xfId="0" applyNumberFormat="1" applyFont="1" applyFill="1" applyBorder="1" applyAlignment="1" applyProtection="1">
      <alignment/>
      <protection/>
    </xf>
    <xf numFmtId="0" fontId="22" fillId="0" borderId="8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left" vertical="center"/>
    </xf>
    <xf numFmtId="5" fontId="22" fillId="0" borderId="87" xfId="0" applyNumberFormat="1" applyFont="1" applyFill="1" applyBorder="1" applyAlignment="1" applyProtection="1">
      <alignment vertical="center"/>
      <protection/>
    </xf>
    <xf numFmtId="173" fontId="22" fillId="0" borderId="87" xfId="0" applyNumberFormat="1" applyFont="1" applyFill="1" applyBorder="1" applyAlignment="1" applyProtection="1">
      <alignment vertical="center"/>
      <protection/>
    </xf>
    <xf numFmtId="173" fontId="22" fillId="0" borderId="88" xfId="0" applyNumberFormat="1" applyFont="1" applyFill="1" applyBorder="1" applyAlignment="1" applyProtection="1">
      <alignment vertical="center"/>
      <protection/>
    </xf>
    <xf numFmtId="5" fontId="22" fillId="0" borderId="88" xfId="0" applyNumberFormat="1" applyFont="1" applyFill="1" applyBorder="1" applyAlignment="1" applyProtection="1">
      <alignment vertical="center"/>
      <protection/>
    </xf>
    <xf numFmtId="173" fontId="12" fillId="0" borderId="86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0" fillId="0" borderId="12" xfId="0" applyFont="1" applyBorder="1" applyAlignment="1">
      <alignment horizontal="center" wrapText="1"/>
    </xf>
    <xf numFmtId="0" fontId="53" fillId="0" borderId="6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7" borderId="89" xfId="0" applyFont="1" applyFill="1" applyBorder="1" applyAlignment="1">
      <alignment horizontal="center"/>
    </xf>
    <xf numFmtId="0" fontId="54" fillId="7" borderId="1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0" fontId="27" fillId="0" borderId="11" xfId="0" applyFont="1" applyBorder="1" applyAlignment="1">
      <alignment horizontal="center"/>
    </xf>
    <xf numFmtId="6" fontId="0" fillId="0" borderId="15" xfId="0" applyNumberFormat="1" applyFill="1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4" fillId="9" borderId="12" xfId="0" applyFont="1" applyFill="1" applyBorder="1" applyAlignment="1">
      <alignment horizontal="center" vertical="center" wrapText="1"/>
    </xf>
    <xf numFmtId="0" fontId="53" fillId="9" borderId="61" xfId="0" applyFont="1" applyFill="1" applyBorder="1" applyAlignment="1">
      <alignment horizontal="center"/>
    </xf>
    <xf numFmtId="0" fontId="30" fillId="9" borderId="15" xfId="0" applyFont="1" applyFill="1" applyBorder="1" applyAlignment="1">
      <alignment horizontal="center" wrapText="1"/>
    </xf>
    <xf numFmtId="0" fontId="13" fillId="0" borderId="0" xfId="0" applyFont="1" applyBorder="1" applyAlignment="1" applyProtection="1">
      <alignment horizontal="center"/>
      <protection locked="0"/>
    </xf>
    <xf numFmtId="6" fontId="0" fillId="0" borderId="15" xfId="0" applyNumberFormat="1" applyBorder="1" applyAlignment="1">
      <alignment/>
    </xf>
    <xf numFmtId="6" fontId="0" fillId="0" borderId="11" xfId="0" applyNumberFormat="1" applyBorder="1" applyAlignment="1">
      <alignment/>
    </xf>
    <xf numFmtId="6" fontId="0" fillId="0" borderId="11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53" fillId="0" borderId="90" xfId="0" applyFont="1" applyBorder="1" applyAlignment="1">
      <alignment horizontal="center"/>
    </xf>
    <xf numFmtId="0" fontId="0" fillId="0" borderId="90" xfId="0" applyBorder="1" applyAlignment="1">
      <alignment/>
    </xf>
    <xf numFmtId="0" fontId="0" fillId="0" borderId="59" xfId="0" applyBorder="1" applyAlignment="1">
      <alignment/>
    </xf>
    <xf numFmtId="0" fontId="10" fillId="7" borderId="85" xfId="0" applyFont="1" applyFill="1" applyBorder="1" applyAlignment="1">
      <alignment horizontal="center" vertical="center"/>
    </xf>
    <xf numFmtId="0" fontId="10" fillId="7" borderId="86" xfId="0" applyFont="1" applyFill="1" applyBorder="1" applyAlignment="1">
      <alignment vertical="center"/>
    </xf>
    <xf numFmtId="0" fontId="10" fillId="7" borderId="86" xfId="0" applyFont="1" applyFill="1" applyBorder="1" applyAlignment="1">
      <alignment horizontal="left" vertical="center"/>
    </xf>
    <xf numFmtId="5" fontId="12" fillId="7" borderId="87" xfId="0" applyNumberFormat="1" applyFont="1" applyFill="1" applyBorder="1" applyAlignment="1" applyProtection="1">
      <alignment vertical="center"/>
      <protection/>
    </xf>
    <xf numFmtId="173" fontId="12" fillId="7" borderId="87" xfId="0" applyNumberFormat="1" applyFont="1" applyFill="1" applyBorder="1" applyAlignment="1" applyProtection="1">
      <alignment vertical="center"/>
      <protection/>
    </xf>
    <xf numFmtId="173" fontId="12" fillId="7" borderId="88" xfId="0" applyNumberFormat="1" applyFont="1" applyFill="1" applyBorder="1" applyAlignment="1" applyProtection="1">
      <alignment vertical="center"/>
      <protection/>
    </xf>
    <xf numFmtId="5" fontId="12" fillId="7" borderId="88" xfId="0" applyNumberFormat="1" applyFont="1" applyFill="1" applyBorder="1" applyAlignment="1" applyProtection="1">
      <alignment vertical="center"/>
      <protection/>
    </xf>
    <xf numFmtId="173" fontId="12" fillId="7" borderId="86" xfId="0" applyNumberFormat="1" applyFont="1" applyFill="1" applyBorder="1" applyAlignment="1" applyProtection="1">
      <alignment vertical="center"/>
      <protection/>
    </xf>
    <xf numFmtId="5" fontId="12" fillId="7" borderId="91" xfId="0" applyNumberFormat="1" applyFont="1" applyFill="1" applyBorder="1" applyAlignment="1" applyProtection="1">
      <alignment vertical="center"/>
      <protection/>
    </xf>
    <xf numFmtId="0" fontId="22" fillId="7" borderId="85" xfId="0" applyFont="1" applyFill="1" applyBorder="1" applyAlignment="1">
      <alignment horizontal="center" vertical="center"/>
    </xf>
    <xf numFmtId="0" fontId="22" fillId="7" borderId="86" xfId="0" applyFont="1" applyFill="1" applyBorder="1" applyAlignment="1">
      <alignment horizontal="left" vertical="center"/>
    </xf>
    <xf numFmtId="5" fontId="22" fillId="7" borderId="87" xfId="0" applyNumberFormat="1" applyFont="1" applyFill="1" applyBorder="1" applyAlignment="1" applyProtection="1">
      <alignment vertical="center"/>
      <protection/>
    </xf>
    <xf numFmtId="173" fontId="10" fillId="7" borderId="86" xfId="0" applyNumberFormat="1" applyFont="1" applyFill="1" applyBorder="1" applyAlignment="1" applyProtection="1">
      <alignment vertical="center"/>
      <protection/>
    </xf>
    <xf numFmtId="5" fontId="10" fillId="7" borderId="84" xfId="0" applyNumberFormat="1" applyFont="1" applyFill="1" applyBorder="1" applyAlignment="1" applyProtection="1">
      <alignment vertical="center"/>
      <protection/>
    </xf>
    <xf numFmtId="0" fontId="22" fillId="7" borderId="21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left"/>
    </xf>
    <xf numFmtId="0" fontId="23" fillId="7" borderId="0" xfId="0" applyFont="1" applyFill="1" applyBorder="1" applyAlignment="1">
      <alignment/>
    </xf>
    <xf numFmtId="5" fontId="23" fillId="7" borderId="51" xfId="0" applyNumberFormat="1" applyFont="1" applyFill="1" applyBorder="1" applyAlignment="1" applyProtection="1">
      <alignment/>
      <protection/>
    </xf>
    <xf numFmtId="173" fontId="23" fillId="7" borderId="51" xfId="0" applyNumberFormat="1" applyFont="1" applyFill="1" applyBorder="1" applyAlignment="1" applyProtection="1">
      <alignment/>
      <protection/>
    </xf>
    <xf numFmtId="173" fontId="23" fillId="7" borderId="52" xfId="0" applyNumberFormat="1" applyFont="1" applyFill="1" applyBorder="1" applyAlignment="1" applyProtection="1">
      <alignment/>
      <protection/>
    </xf>
    <xf numFmtId="5" fontId="23" fillId="7" borderId="52" xfId="0" applyNumberFormat="1" applyFont="1" applyFill="1" applyBorder="1" applyAlignment="1" applyProtection="1">
      <alignment/>
      <protection/>
    </xf>
    <xf numFmtId="173" fontId="12" fillId="7" borderId="0" xfId="0" applyNumberFormat="1" applyFont="1" applyFill="1" applyBorder="1" applyAlignment="1" applyProtection="1">
      <alignment/>
      <protection/>
    </xf>
    <xf numFmtId="5" fontId="12" fillId="7" borderId="22" xfId="0" applyNumberFormat="1" applyFont="1" applyFill="1" applyBorder="1" applyAlignment="1" applyProtection="1">
      <alignment/>
      <protection/>
    </xf>
    <xf numFmtId="0" fontId="23" fillId="7" borderId="74" xfId="0" applyFont="1" applyFill="1" applyBorder="1" applyAlignment="1">
      <alignment/>
    </xf>
    <xf numFmtId="0" fontId="22" fillId="7" borderId="75" xfId="0" applyFont="1" applyFill="1" applyBorder="1" applyAlignment="1">
      <alignment horizontal="left"/>
    </xf>
    <xf numFmtId="0" fontId="23" fillId="7" borderId="75" xfId="0" applyFont="1" applyFill="1" applyBorder="1" applyAlignment="1">
      <alignment/>
    </xf>
    <xf numFmtId="5" fontId="22" fillId="7" borderId="77" xfId="0" applyNumberFormat="1" applyFont="1" applyFill="1" applyBorder="1" applyAlignment="1" applyProtection="1">
      <alignment/>
      <protection/>
    </xf>
    <xf numFmtId="173" fontId="22" fillId="7" borderId="77" xfId="0" applyNumberFormat="1" applyFont="1" applyFill="1" applyBorder="1" applyAlignment="1" applyProtection="1">
      <alignment/>
      <protection/>
    </xf>
    <xf numFmtId="173" fontId="22" fillId="7" borderId="78" xfId="0" applyNumberFormat="1" applyFont="1" applyFill="1" applyBorder="1" applyAlignment="1" applyProtection="1">
      <alignment/>
      <protection/>
    </xf>
    <xf numFmtId="5" fontId="22" fillId="7" borderId="78" xfId="0" applyNumberFormat="1" applyFont="1" applyFill="1" applyBorder="1" applyAlignment="1" applyProtection="1">
      <alignment/>
      <protection/>
    </xf>
    <xf numFmtId="173" fontId="12" fillId="7" borderId="78" xfId="0" applyNumberFormat="1" applyFont="1" applyFill="1" applyBorder="1" applyAlignment="1" applyProtection="1">
      <alignment/>
      <protection/>
    </xf>
    <xf numFmtId="5" fontId="10" fillId="7" borderId="84" xfId="0" applyNumberFormat="1" applyFont="1" applyFill="1" applyBorder="1" applyAlignment="1" applyProtection="1">
      <alignment/>
      <protection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9" borderId="61" xfId="0" applyFont="1" applyFill="1" applyBorder="1" applyAlignment="1">
      <alignment horizontal="center"/>
    </xf>
    <xf numFmtId="0" fontId="4" fillId="9" borderId="63" xfId="0" applyFont="1" applyFill="1" applyBorder="1" applyAlignment="1">
      <alignment horizontal="center"/>
    </xf>
    <xf numFmtId="0" fontId="36" fillId="9" borderId="62" xfId="0" applyFont="1" applyFill="1" applyBorder="1" applyAlignment="1">
      <alignment horizontal="center"/>
    </xf>
    <xf numFmtId="0" fontId="0" fillId="11" borderId="11" xfId="0" applyFill="1" applyBorder="1" applyAlignment="1">
      <alignment/>
    </xf>
    <xf numFmtId="0" fontId="4" fillId="11" borderId="12" xfId="0" applyFont="1" applyFill="1" applyBorder="1" applyAlignment="1">
      <alignment/>
    </xf>
    <xf numFmtId="0" fontId="4" fillId="11" borderId="12" xfId="0" applyFont="1" applyFill="1" applyBorder="1" applyAlignment="1">
      <alignment horizontal="center"/>
    </xf>
    <xf numFmtId="0" fontId="0" fillId="11" borderId="15" xfId="0" applyFill="1" applyBorder="1" applyAlignment="1">
      <alignment/>
    </xf>
    <xf numFmtId="0" fontId="54" fillId="0" borderId="61" xfId="0" applyFont="1" applyFill="1" applyBorder="1" applyAlignment="1">
      <alignment horizontal="center"/>
    </xf>
    <xf numFmtId="18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48" fillId="0" borderId="0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29" fillId="0" borderId="56" xfId="0" applyFont="1" applyFill="1" applyBorder="1" applyAlignment="1">
      <alignment horizontal="center" wrapText="1"/>
    </xf>
    <xf numFmtId="0" fontId="30" fillId="0" borderId="51" xfId="0" applyFont="1" applyFill="1" applyBorder="1" applyAlignment="1">
      <alignment horizontal="center" wrapText="1"/>
    </xf>
    <xf numFmtId="0" fontId="30" fillId="0" borderId="54" xfId="0" applyFont="1" applyFill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56" xfId="0" applyFont="1" applyFill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5" fontId="4" fillId="0" borderId="10" xfId="0" applyNumberFormat="1" applyFont="1" applyBorder="1" applyAlignment="1" applyProtection="1">
      <alignment horizontal="center" wrapText="1"/>
      <protection locked="0"/>
    </xf>
    <xf numFmtId="0" fontId="0" fillId="0" borderId="2" xfId="0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7" fillId="7" borderId="92" xfId="0" applyFont="1" applyFill="1" applyBorder="1" applyAlignment="1" applyProtection="1">
      <alignment horizontal="center" wrapText="1"/>
      <protection locked="0"/>
    </xf>
    <xf numFmtId="0" fontId="27" fillId="7" borderId="93" xfId="0" applyFont="1" applyFill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0" fontId="30" fillId="0" borderId="2" xfId="0" applyFont="1" applyBorder="1" applyAlignment="1">
      <alignment/>
    </xf>
    <xf numFmtId="0" fontId="34" fillId="3" borderId="94" xfId="0" applyFont="1" applyFill="1" applyBorder="1" applyAlignment="1" applyProtection="1">
      <alignment horizontal="center" wrapText="1"/>
      <protection/>
    </xf>
    <xf numFmtId="0" fontId="30" fillId="0" borderId="7" xfId="0" applyFont="1" applyBorder="1" applyAlignment="1">
      <alignment horizontal="center" wrapText="1"/>
    </xf>
    <xf numFmtId="0" fontId="34" fillId="0" borderId="10" xfId="0" applyFont="1" applyFill="1" applyBorder="1" applyAlignment="1" applyProtection="1">
      <alignment horizontal="center" wrapText="1"/>
      <protection locked="0"/>
    </xf>
    <xf numFmtId="0" fontId="30" fillId="0" borderId="2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5" fontId="4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 wrapText="1"/>
    </xf>
    <xf numFmtId="5" fontId="4" fillId="0" borderId="95" xfId="0" applyNumberFormat="1" applyFont="1" applyBorder="1" applyAlignment="1" applyProtection="1">
      <alignment horizontal="center" wrapText="1"/>
      <protection locked="0"/>
    </xf>
    <xf numFmtId="0" fontId="0" fillId="0" borderId="45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left" wrapText="1"/>
      <protection locked="0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0" fillId="0" borderId="64" xfId="0" applyBorder="1" applyAlignment="1">
      <alignment wrapText="1"/>
    </xf>
    <xf numFmtId="0" fontId="21" fillId="0" borderId="0" xfId="0" applyFont="1" applyAlignment="1">
      <alignment horizontal="center" wrapText="1"/>
    </xf>
    <xf numFmtId="0" fontId="36" fillId="0" borderId="0" xfId="0" applyFont="1" applyBorder="1" applyAlignment="1">
      <alignment horizontal="center" vertical="top"/>
    </xf>
    <xf numFmtId="0" fontId="28" fillId="7" borderId="89" xfId="0" applyFont="1" applyFill="1" applyBorder="1" applyAlignment="1">
      <alignment horizontal="center" vertical="center"/>
    </xf>
    <xf numFmtId="0" fontId="28" fillId="7" borderId="96" xfId="0" applyFont="1" applyFill="1" applyBorder="1" applyAlignment="1">
      <alignment horizontal="center" vertical="center"/>
    </xf>
    <xf numFmtId="0" fontId="28" fillId="7" borderId="97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7" fillId="7" borderId="89" xfId="0" applyFont="1" applyFill="1" applyBorder="1" applyAlignment="1">
      <alignment horizontal="center" vertical="center"/>
    </xf>
    <xf numFmtId="0" fontId="27" fillId="7" borderId="96" xfId="0" applyFont="1" applyFill="1" applyBorder="1" applyAlignment="1">
      <alignment horizontal="center" vertical="center"/>
    </xf>
    <xf numFmtId="0" fontId="27" fillId="7" borderId="9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7" fillId="7" borderId="11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8" fillId="8" borderId="89" xfId="0" applyFont="1" applyFill="1" applyBorder="1" applyAlignment="1">
      <alignment horizontal="center" wrapText="1"/>
    </xf>
    <xf numFmtId="0" fontId="28" fillId="8" borderId="9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8" fillId="8" borderId="89" xfId="0" applyFont="1" applyFill="1" applyBorder="1" applyAlignment="1">
      <alignment horizontal="center" vertical="center"/>
    </xf>
    <xf numFmtId="0" fontId="28" fillId="8" borderId="96" xfId="0" applyFont="1" applyFill="1" applyBorder="1" applyAlignment="1">
      <alignment horizontal="center" vertical="center"/>
    </xf>
    <xf numFmtId="0" fontId="28" fillId="8" borderId="97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64" xfId="0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9-00%20adjusted%20with%20EBR%20rate%20change,%2001_23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State Summary"/>
      <sheetName val="Table 2 District Summary"/>
      <sheetName val="Table 3 Distribution"/>
      <sheetName val="Table 4 Formula"/>
      <sheetName val="Table 5 Lab Schools"/>
      <sheetName val="Tables 6-8 Local Wealth"/>
      <sheetName val="Table 7 Membership"/>
      <sheetName val="FYI"/>
      <sheetName val="Audit Adjustments"/>
      <sheetName val="Comparison original &amp; adjusted"/>
    </sheetNames>
    <sheetDataSet>
      <sheetData sheetId="3">
        <row r="8">
          <cell r="C8">
            <v>10007</v>
          </cell>
        </row>
        <row r="9">
          <cell r="C9">
            <v>4239</v>
          </cell>
        </row>
        <row r="10">
          <cell r="C10">
            <v>14655</v>
          </cell>
        </row>
        <row r="11">
          <cell r="C11">
            <v>4551</v>
          </cell>
        </row>
        <row r="12">
          <cell r="C12">
            <v>7189</v>
          </cell>
        </row>
        <row r="13">
          <cell r="C13">
            <v>6120</v>
          </cell>
        </row>
        <row r="14">
          <cell r="C14">
            <v>2657</v>
          </cell>
        </row>
        <row r="15">
          <cell r="C15">
            <v>18676</v>
          </cell>
        </row>
        <row r="16">
          <cell r="C16">
            <v>45365</v>
          </cell>
        </row>
        <row r="17">
          <cell r="C17">
            <v>32446</v>
          </cell>
        </row>
        <row r="18">
          <cell r="C18">
            <v>1847</v>
          </cell>
        </row>
        <row r="19">
          <cell r="C19">
            <v>1982</v>
          </cell>
        </row>
        <row r="20">
          <cell r="C20">
            <v>1951</v>
          </cell>
        </row>
        <row r="21">
          <cell r="C21">
            <v>2811</v>
          </cell>
        </row>
        <row r="22">
          <cell r="C22">
            <v>3933</v>
          </cell>
        </row>
        <row r="23">
          <cell r="C23">
            <v>5093</v>
          </cell>
        </row>
        <row r="24">
          <cell r="C24">
            <v>54519</v>
          </cell>
        </row>
        <row r="25">
          <cell r="C25">
            <v>1910</v>
          </cell>
        </row>
        <row r="26">
          <cell r="C26">
            <v>2660</v>
          </cell>
        </row>
        <row r="27">
          <cell r="C27">
            <v>6340</v>
          </cell>
        </row>
        <row r="28">
          <cell r="C28">
            <v>4007</v>
          </cell>
        </row>
        <row r="29">
          <cell r="C29">
            <v>3615</v>
          </cell>
        </row>
        <row r="30">
          <cell r="C30">
            <v>14662</v>
          </cell>
        </row>
        <row r="31">
          <cell r="C31">
            <v>5070</v>
          </cell>
        </row>
        <row r="32">
          <cell r="C32">
            <v>2682</v>
          </cell>
        </row>
        <row r="33">
          <cell r="C33">
            <v>51310</v>
          </cell>
        </row>
        <row r="34">
          <cell r="C34">
            <v>5957</v>
          </cell>
        </row>
        <row r="35">
          <cell r="C35">
            <v>29745</v>
          </cell>
        </row>
        <row r="36">
          <cell r="C36">
            <v>15348</v>
          </cell>
        </row>
        <row r="37">
          <cell r="C37">
            <v>2610</v>
          </cell>
        </row>
        <row r="38">
          <cell r="C38">
            <v>6745</v>
          </cell>
        </row>
        <row r="39">
          <cell r="C39">
            <v>19421</v>
          </cell>
        </row>
        <row r="40">
          <cell r="C40">
            <v>2547</v>
          </cell>
        </row>
        <row r="41">
          <cell r="C41">
            <v>5421</v>
          </cell>
        </row>
        <row r="42">
          <cell r="C42">
            <v>6823</v>
          </cell>
        </row>
        <row r="43">
          <cell r="C43">
            <v>77665</v>
          </cell>
        </row>
        <row r="44">
          <cell r="C44">
            <v>17128</v>
          </cell>
        </row>
        <row r="45">
          <cell r="C45">
            <v>4775</v>
          </cell>
        </row>
        <row r="46">
          <cell r="C46">
            <v>3346</v>
          </cell>
        </row>
        <row r="47">
          <cell r="C47">
            <v>23505</v>
          </cell>
        </row>
        <row r="48">
          <cell r="C48">
            <v>1869</v>
          </cell>
        </row>
        <row r="49">
          <cell r="C49">
            <v>3807</v>
          </cell>
        </row>
        <row r="50">
          <cell r="C50">
            <v>4358</v>
          </cell>
        </row>
        <row r="51">
          <cell r="C51">
            <v>8633</v>
          </cell>
        </row>
        <row r="52">
          <cell r="C52">
            <v>9751</v>
          </cell>
        </row>
        <row r="53">
          <cell r="C53">
            <v>1478</v>
          </cell>
        </row>
        <row r="54">
          <cell r="C54">
            <v>3964</v>
          </cell>
        </row>
        <row r="55">
          <cell r="C55">
            <v>6401</v>
          </cell>
        </row>
        <row r="56">
          <cell r="C56">
            <v>15736</v>
          </cell>
        </row>
        <row r="57">
          <cell r="C57">
            <v>8559</v>
          </cell>
        </row>
        <row r="58">
          <cell r="C58">
            <v>10837</v>
          </cell>
        </row>
        <row r="59">
          <cell r="C59">
            <v>32286</v>
          </cell>
        </row>
        <row r="60">
          <cell r="C60">
            <v>18498</v>
          </cell>
        </row>
        <row r="61">
          <cell r="C61">
            <v>1152</v>
          </cell>
        </row>
        <row r="62">
          <cell r="C62">
            <v>19900</v>
          </cell>
        </row>
        <row r="63">
          <cell r="C63">
            <v>3688</v>
          </cell>
        </row>
        <row r="64">
          <cell r="C64">
            <v>9215</v>
          </cell>
        </row>
        <row r="65">
          <cell r="C65">
            <v>10023</v>
          </cell>
        </row>
        <row r="66">
          <cell r="C66">
            <v>4567</v>
          </cell>
        </row>
        <row r="67">
          <cell r="C67">
            <v>7754</v>
          </cell>
        </row>
        <row r="68">
          <cell r="C68">
            <v>3816</v>
          </cell>
        </row>
        <row r="69">
          <cell r="C69">
            <v>2590</v>
          </cell>
        </row>
        <row r="70">
          <cell r="C70">
            <v>2224</v>
          </cell>
        </row>
        <row r="71">
          <cell r="C71">
            <v>2935</v>
          </cell>
        </row>
        <row r="72">
          <cell r="C72">
            <v>10164</v>
          </cell>
        </row>
        <row r="73">
          <cell r="C73">
            <v>3086</v>
          </cell>
        </row>
      </sheetData>
      <sheetData sheetId="9">
        <row r="6">
          <cell r="G6">
            <v>194027.07290000096</v>
          </cell>
          <cell r="H6">
            <v>0</v>
          </cell>
        </row>
        <row r="7">
          <cell r="G7">
            <v>98907.18579999916</v>
          </cell>
          <cell r="H7">
            <v>0</v>
          </cell>
        </row>
        <row r="8">
          <cell r="G8">
            <v>0</v>
          </cell>
          <cell r="H8">
            <v>0</v>
          </cell>
        </row>
        <row r="9">
          <cell r="G9">
            <v>94102.04399999976</v>
          </cell>
          <cell r="H9">
            <v>0</v>
          </cell>
        </row>
        <row r="10">
          <cell r="G10">
            <v>311180.9587999992</v>
          </cell>
          <cell r="H10">
            <v>0</v>
          </cell>
        </row>
        <row r="11">
          <cell r="G11">
            <v>185071.48900000006</v>
          </cell>
          <cell r="H11">
            <v>0</v>
          </cell>
        </row>
        <row r="12">
          <cell r="G12">
            <v>0</v>
          </cell>
          <cell r="H12">
            <v>-61827.071800000034</v>
          </cell>
        </row>
        <row r="13">
          <cell r="G13">
            <v>706220.2258999944</v>
          </cell>
          <cell r="H13">
            <v>0</v>
          </cell>
        </row>
        <row r="14">
          <cell r="G14">
            <v>1819992.195600003</v>
          </cell>
          <cell r="H14">
            <v>0</v>
          </cell>
        </row>
        <row r="15">
          <cell r="G15">
            <v>1837624.0908000022</v>
          </cell>
          <cell r="H15">
            <v>0</v>
          </cell>
        </row>
        <row r="16">
          <cell r="G16">
            <v>29442.6333999997</v>
          </cell>
          <cell r="H16">
            <v>0</v>
          </cell>
        </row>
        <row r="17">
          <cell r="G17">
            <v>25799.892199999653</v>
          </cell>
          <cell r="H17">
            <v>0</v>
          </cell>
        </row>
        <row r="18">
          <cell r="G18">
            <v>40449.15130000003</v>
          </cell>
          <cell r="H18">
            <v>0</v>
          </cell>
        </row>
        <row r="19">
          <cell r="G19">
            <v>56144.591299999505</v>
          </cell>
          <cell r="H19">
            <v>0</v>
          </cell>
        </row>
        <row r="20">
          <cell r="G20">
            <v>86999.77600000054</v>
          </cell>
          <cell r="H20">
            <v>0</v>
          </cell>
        </row>
        <row r="21">
          <cell r="G21">
            <v>183540.1458999999</v>
          </cell>
          <cell r="H21">
            <v>0</v>
          </cell>
        </row>
        <row r="22">
          <cell r="G22">
            <v>0</v>
          </cell>
          <cell r="H22">
            <v>-408304.0500000119</v>
          </cell>
        </row>
        <row r="23">
          <cell r="G23">
            <v>25282.71199999936</v>
          </cell>
          <cell r="H23">
            <v>0</v>
          </cell>
        </row>
        <row r="24">
          <cell r="G24">
            <v>53007.01699999906</v>
          </cell>
          <cell r="H24">
            <v>0</v>
          </cell>
        </row>
        <row r="25">
          <cell r="G25">
            <v>129978.81259999797</v>
          </cell>
          <cell r="H25">
            <v>0</v>
          </cell>
        </row>
        <row r="26">
          <cell r="G26">
            <v>64857.50020000152</v>
          </cell>
          <cell r="H26">
            <v>0</v>
          </cell>
        </row>
        <row r="27">
          <cell r="G27">
            <v>45851.798099998385</v>
          </cell>
          <cell r="H27">
            <v>0</v>
          </cell>
        </row>
        <row r="28">
          <cell r="G28">
            <v>776379.3255999982</v>
          </cell>
          <cell r="H28">
            <v>0</v>
          </cell>
        </row>
        <row r="29">
          <cell r="G29">
            <v>0</v>
          </cell>
          <cell r="H29">
            <v>-2555.8499999996275</v>
          </cell>
        </row>
        <row r="30">
          <cell r="G30">
            <v>69908.60969999991</v>
          </cell>
          <cell r="H30">
            <v>0</v>
          </cell>
        </row>
        <row r="31">
          <cell r="G31">
            <v>0</v>
          </cell>
          <cell r="H31">
            <v>-146395.72999998927</v>
          </cell>
        </row>
        <row r="32">
          <cell r="G32">
            <v>160961.86019999906</v>
          </cell>
          <cell r="H32">
            <v>0</v>
          </cell>
        </row>
        <row r="33">
          <cell r="G33">
            <v>0</v>
          </cell>
          <cell r="H33">
            <v>-51843.439999997616</v>
          </cell>
        </row>
        <row r="34">
          <cell r="G34">
            <v>529458.9806999937</v>
          </cell>
          <cell r="H34">
            <v>0</v>
          </cell>
        </row>
        <row r="35">
          <cell r="G35">
            <v>58351.460100000724</v>
          </cell>
          <cell r="H35">
            <v>0</v>
          </cell>
        </row>
        <row r="36">
          <cell r="G36">
            <v>214442.79430000111</v>
          </cell>
          <cell r="H36">
            <v>0</v>
          </cell>
        </row>
        <row r="37">
          <cell r="G37">
            <v>343238.828700006</v>
          </cell>
          <cell r="H37">
            <v>0</v>
          </cell>
        </row>
        <row r="38">
          <cell r="G38">
            <v>16674.46420000121</v>
          </cell>
          <cell r="H38">
            <v>0</v>
          </cell>
        </row>
        <row r="39">
          <cell r="G39">
            <v>172915.51050000265</v>
          </cell>
          <cell r="H39">
            <v>0</v>
          </cell>
        </row>
        <row r="40">
          <cell r="G40">
            <v>228579.30950000137</v>
          </cell>
          <cell r="H40">
            <v>0</v>
          </cell>
        </row>
        <row r="41">
          <cell r="G41">
            <v>434634.02120000124</v>
          </cell>
          <cell r="H41">
            <v>0</v>
          </cell>
        </row>
        <row r="42">
          <cell r="G42">
            <v>525710.5868000016</v>
          </cell>
          <cell r="H42">
            <v>0</v>
          </cell>
        </row>
        <row r="43">
          <cell r="G43">
            <v>0</v>
          </cell>
          <cell r="H43">
            <v>-4196.059999998659</v>
          </cell>
        </row>
        <row r="44">
          <cell r="G44">
            <v>70380.3599999994</v>
          </cell>
          <cell r="H44">
            <v>0</v>
          </cell>
        </row>
        <row r="45">
          <cell r="G45">
            <v>840596.0746999979</v>
          </cell>
          <cell r="H45">
            <v>0</v>
          </cell>
        </row>
        <row r="46">
          <cell r="G46">
            <v>31336.348300000653</v>
          </cell>
          <cell r="H46">
            <v>0</v>
          </cell>
        </row>
        <row r="47">
          <cell r="G47">
            <v>74227.43930000067</v>
          </cell>
          <cell r="H47">
            <v>0</v>
          </cell>
        </row>
        <row r="48">
          <cell r="G48">
            <v>99627.2313000001</v>
          </cell>
          <cell r="H48">
            <v>0</v>
          </cell>
        </row>
        <row r="49">
          <cell r="G49">
            <v>294191.9191999994</v>
          </cell>
          <cell r="H49">
            <v>0</v>
          </cell>
        </row>
        <row r="50">
          <cell r="G50">
            <v>0</v>
          </cell>
          <cell r="H50">
            <v>-9028.400000002235</v>
          </cell>
        </row>
        <row r="51">
          <cell r="G51">
            <v>0</v>
          </cell>
          <cell r="H51">
            <v>-15882.704400000162</v>
          </cell>
        </row>
        <row r="52">
          <cell r="G52">
            <v>0</v>
          </cell>
          <cell r="H52">
            <v>-68061.56000000052</v>
          </cell>
        </row>
        <row r="53">
          <cell r="G53">
            <v>292246.1132000014</v>
          </cell>
          <cell r="H53">
            <v>0</v>
          </cell>
        </row>
        <row r="54">
          <cell r="G54">
            <v>303457.6667999998</v>
          </cell>
          <cell r="H54">
            <v>0</v>
          </cell>
        </row>
        <row r="55">
          <cell r="G55">
            <v>236383.40350000188</v>
          </cell>
          <cell r="H55">
            <v>0</v>
          </cell>
        </row>
        <row r="56">
          <cell r="G56">
            <v>314524.50019999966</v>
          </cell>
          <cell r="H56">
            <v>0</v>
          </cell>
        </row>
        <row r="57">
          <cell r="G57">
            <v>953088.4596000016</v>
          </cell>
          <cell r="H57">
            <v>0</v>
          </cell>
        </row>
        <row r="58">
          <cell r="G58">
            <v>334630.36680000275</v>
          </cell>
          <cell r="H58">
            <v>0</v>
          </cell>
        </row>
        <row r="59">
          <cell r="G59">
            <v>11965.389800000004</v>
          </cell>
          <cell r="H59">
            <v>0</v>
          </cell>
        </row>
        <row r="60">
          <cell r="G60">
            <v>554586.8280000016</v>
          </cell>
          <cell r="H60">
            <v>0</v>
          </cell>
        </row>
        <row r="61">
          <cell r="G61">
            <v>35016.89680000022</v>
          </cell>
          <cell r="H61">
            <v>0</v>
          </cell>
        </row>
        <row r="62">
          <cell r="G62">
            <v>268002.1031999998</v>
          </cell>
          <cell r="H62">
            <v>0</v>
          </cell>
        </row>
        <row r="63">
          <cell r="G63">
            <v>198964.3872999996</v>
          </cell>
          <cell r="H63">
            <v>0</v>
          </cell>
        </row>
        <row r="64">
          <cell r="G64">
            <v>88253.01510000229</v>
          </cell>
          <cell r="H64">
            <v>0</v>
          </cell>
        </row>
        <row r="65">
          <cell r="G65">
            <v>215288.5826999992</v>
          </cell>
          <cell r="H65">
            <v>0</v>
          </cell>
        </row>
        <row r="66">
          <cell r="G66">
            <v>0</v>
          </cell>
          <cell r="H66">
            <v>-9137.519999999553</v>
          </cell>
        </row>
        <row r="67">
          <cell r="G67">
            <v>29777.38540000096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81361.85280000046</v>
          </cell>
          <cell r="H69">
            <v>0</v>
          </cell>
        </row>
        <row r="70">
          <cell r="G70">
            <v>135587.60460000113</v>
          </cell>
          <cell r="H70">
            <v>0</v>
          </cell>
        </row>
        <row r="71">
          <cell r="G71">
            <v>64433.90869999863</v>
          </cell>
          <cell r="H71">
            <v>0</v>
          </cell>
        </row>
        <row r="73">
          <cell r="E73">
            <v>14270430.49540001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5" zoomScaleNormal="75" workbookViewId="0" topLeftCell="A1">
      <selection activeCell="U1" sqref="U1"/>
    </sheetView>
  </sheetViews>
  <sheetFormatPr defaultColWidth="9.140625" defaultRowHeight="12.75"/>
  <cols>
    <col min="1" max="1" width="5.28125" style="0" customWidth="1"/>
    <col min="2" max="2" width="3.28125" style="0" customWidth="1"/>
    <col min="3" max="3" width="39.7109375" style="0" customWidth="1"/>
    <col min="4" max="4" width="17.7109375" style="0" hidden="1" customWidth="1"/>
    <col min="5" max="5" width="19.00390625" style="0" hidden="1" customWidth="1"/>
    <col min="6" max="6" width="16.8515625" style="0" hidden="1" customWidth="1"/>
    <col min="7" max="7" width="18.421875" style="0" hidden="1" customWidth="1"/>
    <col min="8" max="8" width="14.28125" style="0" hidden="1" customWidth="1"/>
    <col min="9" max="9" width="20.28125" style="0" hidden="1" customWidth="1"/>
    <col min="10" max="10" width="14.57421875" style="0" hidden="1" customWidth="1"/>
    <col min="11" max="11" width="0" style="0" hidden="1" customWidth="1"/>
    <col min="12" max="12" width="15.7109375" style="0" hidden="1" customWidth="1"/>
    <col min="13" max="13" width="8.00390625" style="0" hidden="1" customWidth="1"/>
    <col min="14" max="14" width="18.8515625" style="0" hidden="1" customWidth="1"/>
    <col min="15" max="16" width="20.140625" style="0" customWidth="1"/>
    <col min="17" max="17" width="19.140625" style="0" customWidth="1"/>
    <col min="18" max="18" width="8.28125" style="0" customWidth="1"/>
    <col min="19" max="19" width="1.1484375" style="0" customWidth="1"/>
  </cols>
  <sheetData>
    <row r="1" spans="1:18" ht="25.5">
      <c r="A1" s="552" t="s">
        <v>382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</row>
    <row r="2" spans="1:18" s="180" customFormat="1" ht="15" customHeight="1" thickBo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</row>
    <row r="3" spans="1:19" ht="16.5" customHeight="1" thickTop="1">
      <c r="A3" s="105"/>
      <c r="B3" s="106"/>
      <c r="C3" s="267"/>
      <c r="D3" s="268" t="s">
        <v>314</v>
      </c>
      <c r="E3" s="268" t="s">
        <v>315</v>
      </c>
      <c r="F3" s="268" t="s">
        <v>316</v>
      </c>
      <c r="G3" s="268" t="s">
        <v>317</v>
      </c>
      <c r="H3" s="268" t="s">
        <v>318</v>
      </c>
      <c r="I3" s="268" t="s">
        <v>319</v>
      </c>
      <c r="J3" s="268" t="s">
        <v>320</v>
      </c>
      <c r="K3" s="269"/>
      <c r="L3" s="270" t="s">
        <v>320</v>
      </c>
      <c r="M3" s="270"/>
      <c r="N3" s="270" t="s">
        <v>320</v>
      </c>
      <c r="O3" s="553" t="s">
        <v>677</v>
      </c>
      <c r="P3" s="553" t="s">
        <v>659</v>
      </c>
      <c r="Q3" s="548" t="s">
        <v>660</v>
      </c>
      <c r="R3" s="107"/>
      <c r="S3" s="108"/>
    </row>
    <row r="4" spans="1:19" ht="15.75">
      <c r="A4" s="109"/>
      <c r="B4" s="110"/>
      <c r="C4" s="271" t="s">
        <v>321</v>
      </c>
      <c r="D4" s="272" t="s">
        <v>322</v>
      </c>
      <c r="E4" s="272" t="s">
        <v>323</v>
      </c>
      <c r="F4" s="272" t="s">
        <v>324</v>
      </c>
      <c r="G4" s="272" t="s">
        <v>270</v>
      </c>
      <c r="H4" s="272" t="s">
        <v>270</v>
      </c>
      <c r="I4" s="272" t="s">
        <v>325</v>
      </c>
      <c r="J4" s="272" t="s">
        <v>326</v>
      </c>
      <c r="K4" s="273"/>
      <c r="L4" s="274" t="s">
        <v>327</v>
      </c>
      <c r="M4" s="274"/>
      <c r="N4" s="274" t="s">
        <v>328</v>
      </c>
      <c r="O4" s="554"/>
      <c r="P4" s="554"/>
      <c r="Q4" s="549"/>
      <c r="R4" s="274" t="s">
        <v>329</v>
      </c>
      <c r="S4" s="111"/>
    </row>
    <row r="5" spans="1:19" ht="15.75">
      <c r="A5" s="109"/>
      <c r="B5" s="110"/>
      <c r="C5" s="275"/>
      <c r="D5" s="272" t="s">
        <v>271</v>
      </c>
      <c r="E5" s="272" t="s">
        <v>271</v>
      </c>
      <c r="F5" s="272"/>
      <c r="G5" s="272" t="s">
        <v>271</v>
      </c>
      <c r="H5" s="272" t="s">
        <v>271</v>
      </c>
      <c r="I5" s="272" t="s">
        <v>271</v>
      </c>
      <c r="J5" s="272" t="s">
        <v>330</v>
      </c>
      <c r="K5" s="273" t="s">
        <v>329</v>
      </c>
      <c r="L5" s="274" t="s">
        <v>331</v>
      </c>
      <c r="M5" s="274" t="s">
        <v>329</v>
      </c>
      <c r="N5" s="274" t="s">
        <v>332</v>
      </c>
      <c r="O5" s="554"/>
      <c r="P5" s="554"/>
      <c r="Q5" s="549"/>
      <c r="R5" s="274" t="s">
        <v>313</v>
      </c>
      <c r="S5" s="111"/>
    </row>
    <row r="6" spans="1:19" ht="16.5" thickBot="1">
      <c r="A6" s="112"/>
      <c r="B6" s="113"/>
      <c r="C6" s="276"/>
      <c r="D6" s="277" t="s">
        <v>272</v>
      </c>
      <c r="E6" s="277" t="s">
        <v>272</v>
      </c>
      <c r="F6" s="277"/>
      <c r="G6" s="277" t="s">
        <v>272</v>
      </c>
      <c r="H6" s="277" t="s">
        <v>272</v>
      </c>
      <c r="I6" s="277" t="s">
        <v>272</v>
      </c>
      <c r="J6" s="277"/>
      <c r="K6" s="278"/>
      <c r="L6" s="277"/>
      <c r="M6" s="279"/>
      <c r="N6" s="280"/>
      <c r="O6" s="555"/>
      <c r="P6" s="555"/>
      <c r="Q6" s="550"/>
      <c r="R6" s="114"/>
      <c r="S6" s="115"/>
    </row>
    <row r="7" spans="1:19" ht="16.5" thickTop="1">
      <c r="A7" s="116"/>
      <c r="B7" s="117"/>
      <c r="C7" s="118"/>
      <c r="D7" s="119"/>
      <c r="E7" s="119"/>
      <c r="F7" s="119"/>
      <c r="G7" s="119"/>
      <c r="H7" s="119"/>
      <c r="I7" s="119"/>
      <c r="J7" s="119"/>
      <c r="K7" s="120"/>
      <c r="L7" s="119"/>
      <c r="M7" s="121"/>
      <c r="N7" s="121"/>
      <c r="O7" s="121"/>
      <c r="P7" s="121"/>
      <c r="Q7" s="121"/>
      <c r="R7" s="121"/>
      <c r="S7" s="122"/>
    </row>
    <row r="8" spans="1:19" ht="32.25" customHeight="1" thickBot="1">
      <c r="A8" s="397" t="s">
        <v>294</v>
      </c>
      <c r="B8" s="398" t="s">
        <v>273</v>
      </c>
      <c r="C8" s="399"/>
      <c r="D8" s="400">
        <v>2602</v>
      </c>
      <c r="E8" s="400">
        <v>2929</v>
      </c>
      <c r="F8" s="400">
        <v>3020</v>
      </c>
      <c r="G8" s="400">
        <v>3020</v>
      </c>
      <c r="H8" s="400">
        <v>3020</v>
      </c>
      <c r="I8" s="400">
        <v>3020</v>
      </c>
      <c r="J8" s="400">
        <f aca="true" t="shared" si="0" ref="J8:J15">E8-D8</f>
        <v>327</v>
      </c>
      <c r="K8" s="401">
        <f aca="true" t="shared" si="1" ref="K8:K15">ROUND((E8/D8)-1,3)</f>
        <v>0.126</v>
      </c>
      <c r="L8" s="400">
        <f aca="true" t="shared" si="2" ref="L8:L15">I8-E8</f>
        <v>91</v>
      </c>
      <c r="M8" s="402">
        <f aca="true" t="shared" si="3" ref="M8:M15">ROUND((I8/E8)-1,3)</f>
        <v>0.031</v>
      </c>
      <c r="N8" s="403">
        <f aca="true" t="shared" si="4" ref="N8:N15">I8-F8</f>
        <v>0</v>
      </c>
      <c r="O8" s="400">
        <v>3020</v>
      </c>
      <c r="P8" s="400">
        <f>'Table 4 Formula'!V75</f>
        <v>3103</v>
      </c>
      <c r="Q8" s="400">
        <f>P8-O8</f>
        <v>83</v>
      </c>
      <c r="R8" s="404">
        <f>ROUND((P8/O8)-1,3)</f>
        <v>0.027</v>
      </c>
      <c r="S8" s="465"/>
    </row>
    <row r="9" spans="1:19" ht="25.5" customHeight="1">
      <c r="A9" s="405" t="s">
        <v>295</v>
      </c>
      <c r="B9" s="406" t="s">
        <v>333</v>
      </c>
      <c r="C9" s="407"/>
      <c r="D9" s="408">
        <v>1110031</v>
      </c>
      <c r="E9" s="408">
        <f>SUM(E10:E15)</f>
        <v>1018555</v>
      </c>
      <c r="F9" s="408">
        <f>SUM(F10:F15)</f>
        <v>1014857</v>
      </c>
      <c r="G9" s="408">
        <v>1014579</v>
      </c>
      <c r="H9" s="408">
        <v>1015041</v>
      </c>
      <c r="I9" s="408">
        <f>SUM(I10:I15)</f>
        <v>1005082</v>
      </c>
      <c r="J9" s="408">
        <f t="shared" si="0"/>
        <v>-91476</v>
      </c>
      <c r="K9" s="409">
        <f t="shared" si="1"/>
        <v>-0.082</v>
      </c>
      <c r="L9" s="408">
        <f t="shared" si="2"/>
        <v>-13473</v>
      </c>
      <c r="M9" s="410">
        <f t="shared" si="3"/>
        <v>-0.013</v>
      </c>
      <c r="N9" s="411">
        <f t="shared" si="4"/>
        <v>-9775</v>
      </c>
      <c r="O9" s="408">
        <f>SUM(O10:O15)</f>
        <v>993123</v>
      </c>
      <c r="P9" s="408">
        <f>SUM(P10:P15)</f>
        <v>981811</v>
      </c>
      <c r="Q9" s="412">
        <f>P9-O9</f>
        <v>-11312</v>
      </c>
      <c r="R9" s="413">
        <f aca="true" t="shared" si="5" ref="R9:R47">ROUND((P9/O9)-1,3)</f>
        <v>-0.011</v>
      </c>
      <c r="S9" s="132"/>
    </row>
    <row r="10" spans="1:19" ht="18.75" customHeight="1">
      <c r="A10" s="130"/>
      <c r="B10" s="133" t="s">
        <v>274</v>
      </c>
      <c r="C10" s="131" t="s">
        <v>275</v>
      </c>
      <c r="D10" s="134">
        <v>777570</v>
      </c>
      <c r="E10" s="134">
        <v>765383</v>
      </c>
      <c r="F10" s="134">
        <v>761616</v>
      </c>
      <c r="G10" s="134">
        <v>761347</v>
      </c>
      <c r="H10" s="134">
        <v>758638</v>
      </c>
      <c r="I10" s="134">
        <v>753722</v>
      </c>
      <c r="J10" s="134">
        <f t="shared" si="0"/>
        <v>-12187</v>
      </c>
      <c r="K10" s="135">
        <f t="shared" si="1"/>
        <v>-0.016</v>
      </c>
      <c r="L10" s="136">
        <f t="shared" si="2"/>
        <v>-11661</v>
      </c>
      <c r="M10" s="137">
        <f t="shared" si="3"/>
        <v>-0.015</v>
      </c>
      <c r="N10" s="138">
        <f t="shared" si="4"/>
        <v>-7894</v>
      </c>
      <c r="O10" s="134">
        <v>740006</v>
      </c>
      <c r="P10" s="134">
        <f>'Table 4 Formula'!C75</f>
        <v>727255</v>
      </c>
      <c r="Q10" s="329">
        <f aca="true" t="shared" si="6" ref="Q10:Q15">P10-O10</f>
        <v>-12751</v>
      </c>
      <c r="R10" s="129">
        <f t="shared" si="5"/>
        <v>-0.017</v>
      </c>
      <c r="S10" s="139"/>
    </row>
    <row r="11" spans="1:19" ht="18.75" customHeight="1">
      <c r="A11" s="130"/>
      <c r="B11" s="133" t="s">
        <v>276</v>
      </c>
      <c r="C11" s="131" t="s">
        <v>277</v>
      </c>
      <c r="D11" s="134">
        <f>66519+8312</f>
        <v>74831</v>
      </c>
      <c r="E11" s="134">
        <v>75931</v>
      </c>
      <c r="F11" s="134">
        <v>75931</v>
      </c>
      <c r="G11" s="134"/>
      <c r="H11" s="134"/>
      <c r="I11" s="134">
        <v>73730</v>
      </c>
      <c r="J11" s="134">
        <f t="shared" si="0"/>
        <v>1100</v>
      </c>
      <c r="K11" s="135">
        <f t="shared" si="1"/>
        <v>0.015</v>
      </c>
      <c r="L11" s="136">
        <f t="shared" si="2"/>
        <v>-2201</v>
      </c>
      <c r="M11" s="137">
        <f t="shared" si="3"/>
        <v>-0.029</v>
      </c>
      <c r="N11" s="138">
        <f t="shared" si="4"/>
        <v>-2201</v>
      </c>
      <c r="O11" s="134">
        <v>73418</v>
      </c>
      <c r="P11" s="134">
        <f>'Table 4 Formula'!F75</f>
        <v>71893</v>
      </c>
      <c r="Q11" s="329">
        <f t="shared" si="6"/>
        <v>-1525</v>
      </c>
      <c r="R11" s="129">
        <f t="shared" si="5"/>
        <v>-0.021</v>
      </c>
      <c r="S11" s="139"/>
    </row>
    <row r="12" spans="1:19" ht="18.75" customHeight="1">
      <c r="A12" s="130"/>
      <c r="B12" s="133" t="s">
        <v>278</v>
      </c>
      <c r="C12" s="131" t="s">
        <v>279</v>
      </c>
      <c r="D12" s="134">
        <v>9415</v>
      </c>
      <c r="E12" s="134">
        <v>9467</v>
      </c>
      <c r="F12" s="134">
        <v>9467</v>
      </c>
      <c r="G12" s="134"/>
      <c r="H12" s="134"/>
      <c r="I12" s="134">
        <v>9424</v>
      </c>
      <c r="J12" s="134">
        <f t="shared" si="0"/>
        <v>52</v>
      </c>
      <c r="K12" s="135">
        <f t="shared" si="1"/>
        <v>0.006</v>
      </c>
      <c r="L12" s="136">
        <f t="shared" si="2"/>
        <v>-43</v>
      </c>
      <c r="M12" s="137">
        <f t="shared" si="3"/>
        <v>-0.005</v>
      </c>
      <c r="N12" s="138">
        <f t="shared" si="4"/>
        <v>-43</v>
      </c>
      <c r="O12" s="134">
        <v>9324</v>
      </c>
      <c r="P12" s="134">
        <f>'Table 4 Formula'!I75</f>
        <v>9256</v>
      </c>
      <c r="Q12" s="329">
        <f t="shared" si="6"/>
        <v>-68</v>
      </c>
      <c r="R12" s="129">
        <f t="shared" si="5"/>
        <v>-0.007</v>
      </c>
      <c r="S12" s="139"/>
    </row>
    <row r="13" spans="1:19" ht="18.75" customHeight="1">
      <c r="A13" s="130"/>
      <c r="B13" s="133" t="s">
        <v>280</v>
      </c>
      <c r="C13" s="131" t="s">
        <v>281</v>
      </c>
      <c r="D13" s="134">
        <v>153903</v>
      </c>
      <c r="E13" s="134">
        <v>141014</v>
      </c>
      <c r="F13" s="134">
        <v>141014</v>
      </c>
      <c r="G13" s="134"/>
      <c r="H13" s="134"/>
      <c r="I13" s="134">
        <v>140980</v>
      </c>
      <c r="J13" s="134">
        <f t="shared" si="0"/>
        <v>-12889</v>
      </c>
      <c r="K13" s="135">
        <f t="shared" si="1"/>
        <v>-0.084</v>
      </c>
      <c r="L13" s="136">
        <f t="shared" si="2"/>
        <v>-34</v>
      </c>
      <c r="M13" s="137">
        <f t="shared" si="3"/>
        <v>0</v>
      </c>
      <c r="N13" s="138">
        <f t="shared" si="4"/>
        <v>-34</v>
      </c>
      <c r="O13" s="134">
        <v>142833</v>
      </c>
      <c r="P13" s="134">
        <f>'Table 4 Formula'!L75</f>
        <v>145608</v>
      </c>
      <c r="Q13" s="329">
        <f t="shared" si="6"/>
        <v>2775</v>
      </c>
      <c r="R13" s="129">
        <f t="shared" si="5"/>
        <v>0.019</v>
      </c>
      <c r="S13" s="139"/>
    </row>
    <row r="14" spans="1:19" ht="18.75" customHeight="1">
      <c r="A14" s="130"/>
      <c r="B14" s="133" t="s">
        <v>282</v>
      </c>
      <c r="C14" s="131" t="s">
        <v>283</v>
      </c>
      <c r="D14" s="134">
        <v>17104</v>
      </c>
      <c r="E14" s="134">
        <v>14755</v>
      </c>
      <c r="F14" s="134">
        <v>14755</v>
      </c>
      <c r="G14" s="134"/>
      <c r="H14" s="134"/>
      <c r="I14" s="134">
        <v>15101</v>
      </c>
      <c r="J14" s="134">
        <f t="shared" si="0"/>
        <v>-2349</v>
      </c>
      <c r="K14" s="135">
        <f t="shared" si="1"/>
        <v>-0.137</v>
      </c>
      <c r="L14" s="136">
        <f t="shared" si="2"/>
        <v>346</v>
      </c>
      <c r="M14" s="137">
        <f t="shared" si="3"/>
        <v>0.023</v>
      </c>
      <c r="N14" s="138">
        <f t="shared" si="4"/>
        <v>346</v>
      </c>
      <c r="O14" s="134">
        <v>15341</v>
      </c>
      <c r="P14" s="134">
        <f>'Table 4 Formula'!O75</f>
        <v>15554</v>
      </c>
      <c r="Q14" s="329">
        <f t="shared" si="6"/>
        <v>213</v>
      </c>
      <c r="R14" s="129">
        <f t="shared" si="5"/>
        <v>0.014</v>
      </c>
      <c r="S14" s="139"/>
    </row>
    <row r="15" spans="1:19" ht="18.75" customHeight="1">
      <c r="A15" s="130"/>
      <c r="B15" s="140" t="s">
        <v>284</v>
      </c>
      <c r="C15" s="118" t="s">
        <v>334</v>
      </c>
      <c r="D15" s="141">
        <v>3397</v>
      </c>
      <c r="E15" s="141">
        <v>12005</v>
      </c>
      <c r="F15" s="141">
        <v>12074</v>
      </c>
      <c r="G15" s="141"/>
      <c r="H15" s="141"/>
      <c r="I15" s="141">
        <v>12125</v>
      </c>
      <c r="J15" s="141">
        <f t="shared" si="0"/>
        <v>8608</v>
      </c>
      <c r="K15" s="142">
        <f t="shared" si="1"/>
        <v>2.534</v>
      </c>
      <c r="L15" s="143">
        <f t="shared" si="2"/>
        <v>120</v>
      </c>
      <c r="M15" s="144">
        <f t="shared" si="3"/>
        <v>0.01</v>
      </c>
      <c r="N15" s="145">
        <f t="shared" si="4"/>
        <v>51</v>
      </c>
      <c r="O15" s="141">
        <v>12201</v>
      </c>
      <c r="P15" s="141">
        <f>'Table 4 Formula'!S75</f>
        <v>12245</v>
      </c>
      <c r="Q15" s="330">
        <f t="shared" si="6"/>
        <v>44</v>
      </c>
      <c r="R15" s="235">
        <f t="shared" si="5"/>
        <v>0.004</v>
      </c>
      <c r="S15" s="146"/>
    </row>
    <row r="16" spans="1:19" ht="16.5" thickBot="1">
      <c r="A16" s="414"/>
      <c r="B16" s="415"/>
      <c r="C16" s="416" t="s">
        <v>285</v>
      </c>
      <c r="D16" s="417"/>
      <c r="E16" s="417"/>
      <c r="F16" s="417"/>
      <c r="G16" s="417"/>
      <c r="H16" s="417"/>
      <c r="I16" s="417"/>
      <c r="J16" s="417"/>
      <c r="K16" s="418"/>
      <c r="L16" s="417"/>
      <c r="M16" s="419"/>
      <c r="N16" s="420"/>
      <c r="O16" s="417"/>
      <c r="P16" s="417"/>
      <c r="Q16" s="417"/>
      <c r="R16" s="421"/>
      <c r="S16" s="462"/>
    </row>
    <row r="17" spans="1:19" ht="30.75" customHeight="1">
      <c r="A17" s="130" t="s">
        <v>296</v>
      </c>
      <c r="B17" s="124" t="s">
        <v>286</v>
      </c>
      <c r="C17" s="148"/>
      <c r="D17" s="125">
        <v>2888300662</v>
      </c>
      <c r="E17" s="125">
        <v>2983347595</v>
      </c>
      <c r="F17" s="125">
        <v>3064868140</v>
      </c>
      <c r="G17" s="125">
        <v>3064028580</v>
      </c>
      <c r="H17" s="125">
        <v>3065423820</v>
      </c>
      <c r="I17" s="125">
        <v>3035347640</v>
      </c>
      <c r="J17" s="125">
        <f aca="true" t="shared" si="7" ref="J17:J30">E17-D17</f>
        <v>95046933</v>
      </c>
      <c r="K17" s="126">
        <f aca="true" t="shared" si="8" ref="K17:K30">ROUND((E17/D17)-1,3)</f>
        <v>0.033</v>
      </c>
      <c r="L17" s="125">
        <f aca="true" t="shared" si="9" ref="L17:L30">I17-E17</f>
        <v>52000045</v>
      </c>
      <c r="M17" s="127">
        <f aca="true" t="shared" si="10" ref="M17:M30">ROUND((I17/E17)-1,3)</f>
        <v>0.017</v>
      </c>
      <c r="N17" s="128">
        <f>I17-F17</f>
        <v>-29520500</v>
      </c>
      <c r="O17" s="125">
        <v>2999231162</v>
      </c>
      <c r="P17" s="125">
        <f>'Table 4 Formula'!W75</f>
        <v>3046559533</v>
      </c>
      <c r="Q17" s="125">
        <f>P17-O17</f>
        <v>47328371</v>
      </c>
      <c r="R17" s="129">
        <f t="shared" si="5"/>
        <v>0.016</v>
      </c>
      <c r="S17" s="132"/>
    </row>
    <row r="18" spans="1:19" ht="18.75" customHeight="1">
      <c r="A18" s="130"/>
      <c r="B18" s="238" t="s">
        <v>274</v>
      </c>
      <c r="C18" s="239" t="s">
        <v>287</v>
      </c>
      <c r="D18" s="240">
        <v>1877396685</v>
      </c>
      <c r="E18" s="240">
        <v>1939172786</v>
      </c>
      <c r="F18" s="240">
        <v>1992166404</v>
      </c>
      <c r="G18" s="240">
        <v>1991617723</v>
      </c>
      <c r="H18" s="240">
        <v>1993806997</v>
      </c>
      <c r="I18" s="240">
        <v>1973679261</v>
      </c>
      <c r="J18" s="240">
        <f t="shared" si="7"/>
        <v>61776101</v>
      </c>
      <c r="K18" s="241">
        <f t="shared" si="8"/>
        <v>0.033</v>
      </c>
      <c r="L18" s="240">
        <f t="shared" si="9"/>
        <v>34506475</v>
      </c>
      <c r="M18" s="242">
        <f t="shared" si="10"/>
        <v>0.018</v>
      </c>
      <c r="N18" s="243">
        <f>I18-F18</f>
        <v>-18487143</v>
      </c>
      <c r="O18" s="240">
        <v>1949569272</v>
      </c>
      <c r="P18" s="240">
        <f>'Table 4 Formula'!AC75</f>
        <v>1980262918.0540388</v>
      </c>
      <c r="Q18" s="240">
        <f aca="true" t="shared" si="11" ref="Q18:Q47">P18-O18</f>
        <v>30693646.054038763</v>
      </c>
      <c r="R18" s="129">
        <f t="shared" si="5"/>
        <v>0.016</v>
      </c>
      <c r="S18" s="139"/>
    </row>
    <row r="19" spans="1:19" ht="18.75" customHeight="1" thickBot="1">
      <c r="A19" s="414"/>
      <c r="B19" s="422" t="s">
        <v>276</v>
      </c>
      <c r="C19" s="423" t="s">
        <v>288</v>
      </c>
      <c r="D19" s="424">
        <v>1010903977</v>
      </c>
      <c r="E19" s="424">
        <v>1044174809</v>
      </c>
      <c r="F19" s="424">
        <v>1072701736</v>
      </c>
      <c r="G19" s="424">
        <v>1072410857</v>
      </c>
      <c r="H19" s="424">
        <v>1071616823</v>
      </c>
      <c r="I19" s="424">
        <v>1061668379</v>
      </c>
      <c r="J19" s="424">
        <f t="shared" si="7"/>
        <v>33270832</v>
      </c>
      <c r="K19" s="425">
        <f t="shared" si="8"/>
        <v>0.033</v>
      </c>
      <c r="L19" s="424">
        <f t="shared" si="9"/>
        <v>17493570</v>
      </c>
      <c r="M19" s="426">
        <f t="shared" si="10"/>
        <v>0.017</v>
      </c>
      <c r="N19" s="427">
        <f>I19-F19</f>
        <v>-11033357</v>
      </c>
      <c r="O19" s="424">
        <v>1049661890</v>
      </c>
      <c r="P19" s="424">
        <f>'Table 4 Formula'!AA75</f>
        <v>1066296614.9459608</v>
      </c>
      <c r="Q19" s="424">
        <f t="shared" si="11"/>
        <v>16634724.94596076</v>
      </c>
      <c r="R19" s="421">
        <f t="shared" si="5"/>
        <v>0.016</v>
      </c>
      <c r="S19" s="463"/>
    </row>
    <row r="20" spans="1:19" ht="29.25" customHeight="1">
      <c r="A20" s="123" t="s">
        <v>297</v>
      </c>
      <c r="B20" s="124" t="s">
        <v>335</v>
      </c>
      <c r="C20" s="124"/>
      <c r="D20" s="125">
        <v>1293050796</v>
      </c>
      <c r="E20" s="125">
        <v>1396291649</v>
      </c>
      <c r="F20" s="151"/>
      <c r="G20" s="125"/>
      <c r="H20" s="125"/>
      <c r="I20" s="125">
        <v>1522075907</v>
      </c>
      <c r="J20" s="125">
        <f t="shared" si="7"/>
        <v>103240853</v>
      </c>
      <c r="K20" s="126">
        <f t="shared" si="8"/>
        <v>0.08</v>
      </c>
      <c r="L20" s="125">
        <f t="shared" si="9"/>
        <v>125784258</v>
      </c>
      <c r="M20" s="127">
        <f t="shared" si="10"/>
        <v>0.09</v>
      </c>
      <c r="N20" s="151"/>
      <c r="O20" s="125">
        <v>1568217830</v>
      </c>
      <c r="P20" s="125">
        <f>'Table 4 Formula'!AE75</f>
        <v>1694006977.5</v>
      </c>
      <c r="Q20" s="125">
        <f t="shared" si="11"/>
        <v>125789147.5</v>
      </c>
      <c r="R20" s="129">
        <f t="shared" si="5"/>
        <v>0.08</v>
      </c>
      <c r="S20" s="132"/>
    </row>
    <row r="21" spans="1:19" ht="18.75" customHeight="1">
      <c r="A21" s="123"/>
      <c r="B21" s="149" t="s">
        <v>274</v>
      </c>
      <c r="C21" s="124" t="s">
        <v>336</v>
      </c>
      <c r="D21" s="125">
        <v>12567779462</v>
      </c>
      <c r="E21" s="125">
        <v>13743189478</v>
      </c>
      <c r="F21" s="125"/>
      <c r="G21" s="125"/>
      <c r="H21" s="125"/>
      <c r="I21" s="125">
        <v>14711025871</v>
      </c>
      <c r="J21" s="125">
        <f t="shared" si="7"/>
        <v>1175410016</v>
      </c>
      <c r="K21" s="126">
        <f t="shared" si="8"/>
        <v>0.094</v>
      </c>
      <c r="L21" s="125">
        <f t="shared" si="9"/>
        <v>967836393</v>
      </c>
      <c r="M21" s="127">
        <f t="shared" si="10"/>
        <v>0.07</v>
      </c>
      <c r="N21" s="128"/>
      <c r="O21" s="125">
        <v>15226451693</v>
      </c>
      <c r="P21" s="125">
        <f>'Tables 6-8 Local Wealth'!AD75</f>
        <v>15959286273</v>
      </c>
      <c r="Q21" s="125">
        <f t="shared" si="11"/>
        <v>732834580</v>
      </c>
      <c r="R21" s="129">
        <f t="shared" si="5"/>
        <v>0.048</v>
      </c>
      <c r="S21" s="132"/>
    </row>
    <row r="22" spans="1:19" ht="18.75" customHeight="1">
      <c r="A22" s="123"/>
      <c r="B22" s="149" t="s">
        <v>276</v>
      </c>
      <c r="C22" s="124" t="s">
        <v>337</v>
      </c>
      <c r="D22" s="125">
        <v>47846595002</v>
      </c>
      <c r="E22" s="125">
        <v>49212367089</v>
      </c>
      <c r="F22" s="125"/>
      <c r="G22" s="125"/>
      <c r="H22" s="125"/>
      <c r="I22" s="125">
        <v>52854905379</v>
      </c>
      <c r="J22" s="125">
        <f t="shared" si="7"/>
        <v>1365772087</v>
      </c>
      <c r="K22" s="126">
        <f t="shared" si="8"/>
        <v>0.029</v>
      </c>
      <c r="L22" s="125">
        <f t="shared" si="9"/>
        <v>3642538290</v>
      </c>
      <c r="M22" s="127">
        <f t="shared" si="10"/>
        <v>0.074</v>
      </c>
      <c r="N22" s="128"/>
      <c r="O22" s="125">
        <v>52743978836</v>
      </c>
      <c r="P22" s="125">
        <f>'Tables 6-8 Local Wealth'!BF75</f>
        <v>55642123964</v>
      </c>
      <c r="Q22" s="125">
        <f t="shared" si="11"/>
        <v>2898145128</v>
      </c>
      <c r="R22" s="129">
        <f t="shared" si="5"/>
        <v>0.055</v>
      </c>
      <c r="S22" s="132"/>
    </row>
    <row r="23" spans="1:19" ht="15.75">
      <c r="A23" s="123"/>
      <c r="B23" s="149" t="s">
        <v>278</v>
      </c>
      <c r="C23" s="124" t="s">
        <v>338</v>
      </c>
      <c r="D23" s="152">
        <v>38.66</v>
      </c>
      <c r="E23" s="152">
        <v>39.45</v>
      </c>
      <c r="F23" s="152"/>
      <c r="G23" s="125"/>
      <c r="H23" s="125"/>
      <c r="I23" s="152">
        <v>40.96</v>
      </c>
      <c r="J23" s="152">
        <f t="shared" si="7"/>
        <v>0.7900000000000063</v>
      </c>
      <c r="K23" s="126">
        <f t="shared" si="8"/>
        <v>0.02</v>
      </c>
      <c r="L23" s="152">
        <f t="shared" si="9"/>
        <v>1.509999999999998</v>
      </c>
      <c r="M23" s="127">
        <f t="shared" si="10"/>
        <v>0.038</v>
      </c>
      <c r="N23" s="152"/>
      <c r="O23" s="152">
        <v>40.64</v>
      </c>
      <c r="P23" s="152">
        <f>'Tables 6-8 Local Wealth'!BA75</f>
        <v>41.11</v>
      </c>
      <c r="Q23" s="152">
        <f t="shared" si="11"/>
        <v>0.46999999999999886</v>
      </c>
      <c r="R23" s="129">
        <f t="shared" si="5"/>
        <v>0.012</v>
      </c>
      <c r="S23" s="132"/>
    </row>
    <row r="24" spans="1:19" ht="15.75">
      <c r="A24" s="123"/>
      <c r="B24" s="149" t="s">
        <v>280</v>
      </c>
      <c r="C24" s="124" t="s">
        <v>339</v>
      </c>
      <c r="D24" s="151">
        <v>0.0161</v>
      </c>
      <c r="E24" s="151">
        <v>0.0165</v>
      </c>
      <c r="F24" s="151"/>
      <c r="G24" s="125"/>
      <c r="H24" s="125"/>
      <c r="I24" s="151">
        <v>0.0167</v>
      </c>
      <c r="J24" s="151">
        <f t="shared" si="7"/>
        <v>0.00040000000000000105</v>
      </c>
      <c r="K24" s="126">
        <f t="shared" si="8"/>
        <v>0.025</v>
      </c>
      <c r="L24" s="151">
        <f t="shared" si="9"/>
        <v>0.0001999999999999988</v>
      </c>
      <c r="M24" s="127">
        <f t="shared" si="10"/>
        <v>0.012</v>
      </c>
      <c r="N24" s="151"/>
      <c r="O24" s="151">
        <v>0.0173</v>
      </c>
      <c r="P24" s="151">
        <f>'Tables 6-8 Local Wealth'!BB75</f>
        <v>0.018</v>
      </c>
      <c r="Q24" s="151">
        <f t="shared" si="11"/>
        <v>0.0006999999999999992</v>
      </c>
      <c r="R24" s="129">
        <f t="shared" si="5"/>
        <v>0.04</v>
      </c>
      <c r="S24" s="132"/>
    </row>
    <row r="25" spans="1:19" ht="18.75" customHeight="1">
      <c r="A25" s="123"/>
      <c r="B25" s="149" t="s">
        <v>282</v>
      </c>
      <c r="C25" s="124" t="s">
        <v>340</v>
      </c>
      <c r="D25" s="125">
        <v>485842655</v>
      </c>
      <c r="E25" s="125">
        <v>542136247</v>
      </c>
      <c r="F25" s="125"/>
      <c r="G25" s="125"/>
      <c r="H25" s="125"/>
      <c r="I25" s="125">
        <v>602587293</v>
      </c>
      <c r="J25" s="125">
        <f t="shared" si="7"/>
        <v>56293592</v>
      </c>
      <c r="K25" s="126">
        <f t="shared" si="8"/>
        <v>0.116</v>
      </c>
      <c r="L25" s="125">
        <f t="shared" si="9"/>
        <v>60451046</v>
      </c>
      <c r="M25" s="127">
        <f t="shared" si="10"/>
        <v>0.112</v>
      </c>
      <c r="N25" s="125"/>
      <c r="O25" s="125">
        <v>618800174</v>
      </c>
      <c r="P25" s="125">
        <f>'Tables 6-8 Local Wealth'!AX75</f>
        <v>656093426</v>
      </c>
      <c r="Q25" s="125">
        <f t="shared" si="11"/>
        <v>37293252</v>
      </c>
      <c r="R25" s="129">
        <f t="shared" si="5"/>
        <v>0.06</v>
      </c>
      <c r="S25" s="132"/>
    </row>
    <row r="26" spans="1:19" ht="18.75" customHeight="1">
      <c r="A26" s="123"/>
      <c r="B26" s="149" t="s">
        <v>284</v>
      </c>
      <c r="C26" s="124" t="s">
        <v>341</v>
      </c>
      <c r="D26" s="125">
        <v>768234160</v>
      </c>
      <c r="E26" s="125">
        <v>813262728</v>
      </c>
      <c r="F26" s="125"/>
      <c r="G26" s="125"/>
      <c r="H26" s="125"/>
      <c r="I26" s="125">
        <v>880750023</v>
      </c>
      <c r="J26" s="125">
        <f t="shared" si="7"/>
        <v>45028568</v>
      </c>
      <c r="K26" s="126">
        <f t="shared" si="8"/>
        <v>0.059</v>
      </c>
      <c r="L26" s="125">
        <f t="shared" si="9"/>
        <v>67487295</v>
      </c>
      <c r="M26" s="127">
        <f t="shared" si="10"/>
        <v>0.083</v>
      </c>
      <c r="N26" s="125"/>
      <c r="O26" s="125">
        <v>913203900</v>
      </c>
      <c r="P26" s="125">
        <f>'Tables 6-8 Local Wealth'!BE75</f>
        <v>1000538884</v>
      </c>
      <c r="Q26" s="125">
        <f t="shared" si="11"/>
        <v>87334984</v>
      </c>
      <c r="R26" s="129">
        <f t="shared" si="5"/>
        <v>0.096</v>
      </c>
      <c r="S26" s="132"/>
    </row>
    <row r="27" spans="1:19" ht="18.75" customHeight="1" thickBot="1">
      <c r="A27" s="428"/>
      <c r="B27" s="429" t="s">
        <v>342</v>
      </c>
      <c r="C27" s="430" t="s">
        <v>343</v>
      </c>
      <c r="D27" s="431">
        <v>38973981</v>
      </c>
      <c r="E27" s="431">
        <v>40892674</v>
      </c>
      <c r="F27" s="432"/>
      <c r="G27" s="431"/>
      <c r="H27" s="431"/>
      <c r="I27" s="431">
        <v>38738591</v>
      </c>
      <c r="J27" s="431">
        <f t="shared" si="7"/>
        <v>1918693</v>
      </c>
      <c r="K27" s="433">
        <f t="shared" si="8"/>
        <v>0.049</v>
      </c>
      <c r="L27" s="431">
        <f t="shared" si="9"/>
        <v>-2154083</v>
      </c>
      <c r="M27" s="434">
        <f t="shared" si="10"/>
        <v>-0.053</v>
      </c>
      <c r="N27" s="432"/>
      <c r="O27" s="431">
        <v>36213756</v>
      </c>
      <c r="P27" s="431">
        <f>'Tables 6-8 Local Wealth'!U75</f>
        <v>37374667.5</v>
      </c>
      <c r="Q27" s="431">
        <f t="shared" si="11"/>
        <v>1160911.5</v>
      </c>
      <c r="R27" s="435">
        <f t="shared" si="5"/>
        <v>0.032</v>
      </c>
      <c r="S27" s="463"/>
    </row>
    <row r="28" spans="1:19" ht="30" customHeight="1">
      <c r="A28" s="130" t="s">
        <v>298</v>
      </c>
      <c r="B28" s="147" t="s">
        <v>289</v>
      </c>
      <c r="C28" s="124"/>
      <c r="D28" s="128">
        <v>291591581</v>
      </c>
      <c r="E28" s="128">
        <v>347996961</v>
      </c>
      <c r="F28" s="125">
        <v>394795849</v>
      </c>
      <c r="G28" s="125">
        <v>323405939</v>
      </c>
      <c r="H28" s="125">
        <v>422891550</v>
      </c>
      <c r="I28" s="125">
        <v>453338095</v>
      </c>
      <c r="J28" s="125">
        <f t="shared" si="7"/>
        <v>56405380</v>
      </c>
      <c r="K28" s="126">
        <f t="shared" si="8"/>
        <v>0.193</v>
      </c>
      <c r="L28" s="128">
        <f t="shared" si="9"/>
        <v>105341134</v>
      </c>
      <c r="M28" s="127">
        <f t="shared" si="10"/>
        <v>0.303</v>
      </c>
      <c r="N28" s="128">
        <f>I28-F28</f>
        <v>58542246</v>
      </c>
      <c r="O28" s="125">
        <v>503761065</v>
      </c>
      <c r="P28" s="125">
        <f>'Table 4 Formula'!AI75</f>
        <v>598062738.9851298</v>
      </c>
      <c r="Q28" s="125">
        <f t="shared" si="11"/>
        <v>94301673.98512983</v>
      </c>
      <c r="R28" s="129">
        <f t="shared" si="5"/>
        <v>0.187</v>
      </c>
      <c r="S28" s="139"/>
    </row>
    <row r="29" spans="1:19" ht="18.75" customHeight="1">
      <c r="A29" s="244"/>
      <c r="B29" s="238" t="s">
        <v>274</v>
      </c>
      <c r="C29" s="245" t="s">
        <v>344</v>
      </c>
      <c r="D29" s="240">
        <v>112286230</v>
      </c>
      <c r="E29" s="240">
        <v>139730995</v>
      </c>
      <c r="F29" s="240">
        <v>155816718</v>
      </c>
      <c r="G29" s="240">
        <v>131567149</v>
      </c>
      <c r="H29" s="240">
        <v>171377699</v>
      </c>
      <c r="I29" s="240">
        <v>179930743</v>
      </c>
      <c r="J29" s="240">
        <f t="shared" si="7"/>
        <v>27444765</v>
      </c>
      <c r="K29" s="241">
        <f t="shared" si="8"/>
        <v>0.244</v>
      </c>
      <c r="L29" s="240">
        <f t="shared" si="9"/>
        <v>40199748</v>
      </c>
      <c r="M29" s="242">
        <f t="shared" si="10"/>
        <v>0.288</v>
      </c>
      <c r="N29" s="243">
        <f>I29-F29</f>
        <v>24114025</v>
      </c>
      <c r="O29" s="240">
        <v>191177182.98</v>
      </c>
      <c r="P29" s="240">
        <f>'Table 4 Formula'!AJ75</f>
        <v>216499626.7742895</v>
      </c>
      <c r="Q29" s="240">
        <f t="shared" si="11"/>
        <v>25322443.7942895</v>
      </c>
      <c r="R29" s="129">
        <f t="shared" si="5"/>
        <v>0.132</v>
      </c>
      <c r="S29" s="139"/>
    </row>
    <row r="30" spans="1:19" ht="18.75" customHeight="1" thickBot="1">
      <c r="A30" s="437"/>
      <c r="B30" s="438" t="s">
        <v>276</v>
      </c>
      <c r="C30" s="439" t="s">
        <v>345</v>
      </c>
      <c r="D30" s="440">
        <v>275553847</v>
      </c>
      <c r="E30" s="440">
        <v>264424095</v>
      </c>
      <c r="F30" s="440"/>
      <c r="G30" s="440"/>
      <c r="H30" s="440"/>
      <c r="I30" s="440">
        <v>231790727</v>
      </c>
      <c r="J30" s="440">
        <f t="shared" si="7"/>
        <v>-11129752</v>
      </c>
      <c r="K30" s="441">
        <f t="shared" si="8"/>
        <v>-0.04</v>
      </c>
      <c r="L30" s="440">
        <f t="shared" si="9"/>
        <v>-32633368</v>
      </c>
      <c r="M30" s="442">
        <f t="shared" si="10"/>
        <v>-0.123</v>
      </c>
      <c r="N30" s="443"/>
      <c r="O30" s="440">
        <v>214983126</v>
      </c>
      <c r="P30" s="440">
        <f>'Table 4 Formula'!AL75</f>
        <v>193072165.93571264</v>
      </c>
      <c r="Q30" s="444">
        <f t="shared" si="11"/>
        <v>-21910960.064287364</v>
      </c>
      <c r="R30" s="435">
        <f t="shared" si="5"/>
        <v>-0.102</v>
      </c>
      <c r="S30" s="461"/>
    </row>
    <row r="31" spans="1:19" ht="29.25" customHeight="1">
      <c r="A31" s="246" t="s">
        <v>299</v>
      </c>
      <c r="B31" s="436" t="s">
        <v>386</v>
      </c>
      <c r="C31" s="251"/>
      <c r="D31" s="247"/>
      <c r="E31" s="247"/>
      <c r="F31" s="247"/>
      <c r="G31" s="247"/>
      <c r="H31" s="247"/>
      <c r="I31" s="247"/>
      <c r="J31" s="247"/>
      <c r="K31" s="248"/>
      <c r="L31" s="247"/>
      <c r="M31" s="249"/>
      <c r="N31" s="250"/>
      <c r="O31" s="247"/>
      <c r="P31" s="247"/>
      <c r="Q31" s="247"/>
      <c r="R31" s="236"/>
      <c r="S31" s="146"/>
    </row>
    <row r="32" spans="1:19" ht="18.75" customHeight="1" thickBot="1">
      <c r="A32" s="414"/>
      <c r="B32" s="445" t="s">
        <v>346</v>
      </c>
      <c r="C32" s="446"/>
      <c r="D32" s="447">
        <v>93917929</v>
      </c>
      <c r="E32" s="447">
        <v>89370518</v>
      </c>
      <c r="F32" s="447">
        <v>97458550</v>
      </c>
      <c r="G32" s="447">
        <v>98872397</v>
      </c>
      <c r="H32" s="447">
        <v>102364487</v>
      </c>
      <c r="I32" s="447">
        <v>95490855</v>
      </c>
      <c r="J32" s="447">
        <f>E32-D32</f>
        <v>-4547411</v>
      </c>
      <c r="K32" s="448">
        <f>ROUND((E32/D32)-1,3)</f>
        <v>-0.048</v>
      </c>
      <c r="L32" s="447">
        <f>I32-E32</f>
        <v>6120337</v>
      </c>
      <c r="M32" s="449">
        <f>ROUND((I32/E32)-1,3)</f>
        <v>0.068</v>
      </c>
      <c r="N32" s="450">
        <f>I32-F32</f>
        <v>-1967695</v>
      </c>
      <c r="O32" s="447">
        <v>98119853.5</v>
      </c>
      <c r="P32" s="447">
        <f>'Table 4 Formula'!AV75</f>
        <v>87856358.52379997</v>
      </c>
      <c r="Q32" s="451">
        <f t="shared" si="11"/>
        <v>-10263494.97620003</v>
      </c>
      <c r="R32" s="426">
        <f t="shared" si="5"/>
        <v>-0.105</v>
      </c>
      <c r="S32" s="462"/>
    </row>
    <row r="33" spans="1:19" ht="31.5" customHeight="1" thickBot="1">
      <c r="A33" s="466" t="s">
        <v>300</v>
      </c>
      <c r="B33" s="467" t="s">
        <v>662</v>
      </c>
      <c r="C33" s="467"/>
      <c r="D33" s="468" t="e">
        <f>D18+D29+#REF!+D32</f>
        <v>#REF!</v>
      </c>
      <c r="E33" s="468" t="e">
        <f>E18+E29+#REF!+E32</f>
        <v>#REF!</v>
      </c>
      <c r="F33" s="468" t="e">
        <f>F18+F29+#REF!+F32</f>
        <v>#REF!</v>
      </c>
      <c r="G33" s="468" t="e">
        <f>G18+G29+#REF!+G32</f>
        <v>#REF!</v>
      </c>
      <c r="H33" s="468" t="e">
        <f>H18+H29+#REF!+H32</f>
        <v>#REF!</v>
      </c>
      <c r="I33" s="468" t="e">
        <f>I18+I29+#REF!+I32</f>
        <v>#REF!</v>
      </c>
      <c r="J33" s="468" t="e">
        <f>E33-D33</f>
        <v>#REF!</v>
      </c>
      <c r="K33" s="469" t="e">
        <f>ROUND((E33/D33)-1,3)</f>
        <v>#REF!</v>
      </c>
      <c r="L33" s="468" t="e">
        <f>I33-E33</f>
        <v>#REF!</v>
      </c>
      <c r="M33" s="470" t="e">
        <f>ROUND((I33/E33)-1,3)</f>
        <v>#REF!</v>
      </c>
      <c r="N33" s="471" t="e">
        <f>N18+N29+#REF!+N32</f>
        <v>#REF!</v>
      </c>
      <c r="O33" s="468">
        <f>O18+O29+O32</f>
        <v>2238866308.48</v>
      </c>
      <c r="P33" s="468">
        <f>P18+P29+P32</f>
        <v>2284618903.352128</v>
      </c>
      <c r="Q33" s="468">
        <f t="shared" si="11"/>
        <v>45752594.87212801</v>
      </c>
      <c r="R33" s="472">
        <f t="shared" si="5"/>
        <v>0.02</v>
      </c>
      <c r="S33" s="462"/>
    </row>
    <row r="34" spans="1:19" ht="28.5" customHeight="1">
      <c r="A34" s="511" t="s">
        <v>301</v>
      </c>
      <c r="B34" s="512" t="s">
        <v>290</v>
      </c>
      <c r="C34" s="513"/>
      <c r="D34" s="514"/>
      <c r="E34" s="514"/>
      <c r="F34" s="514"/>
      <c r="G34" s="514"/>
      <c r="H34" s="514"/>
      <c r="I34" s="514"/>
      <c r="J34" s="514"/>
      <c r="K34" s="515"/>
      <c r="L34" s="514"/>
      <c r="M34" s="516"/>
      <c r="N34" s="517"/>
      <c r="O34" s="514"/>
      <c r="P34" s="514"/>
      <c r="Q34" s="514"/>
      <c r="R34" s="518"/>
      <c r="S34" s="519"/>
    </row>
    <row r="35" spans="1:19" ht="16.5" thickBot="1">
      <c r="A35" s="520"/>
      <c r="B35" s="521" t="s">
        <v>663</v>
      </c>
      <c r="C35" s="522"/>
      <c r="D35" s="523" t="e">
        <f aca="true" t="shared" si="12" ref="D35:I35">SUM(D33:D33)</f>
        <v>#REF!</v>
      </c>
      <c r="E35" s="523" t="e">
        <f t="shared" si="12"/>
        <v>#REF!</v>
      </c>
      <c r="F35" s="523" t="e">
        <f t="shared" si="12"/>
        <v>#REF!</v>
      </c>
      <c r="G35" s="523" t="e">
        <f t="shared" si="12"/>
        <v>#REF!</v>
      </c>
      <c r="H35" s="523" t="e">
        <f t="shared" si="12"/>
        <v>#REF!</v>
      </c>
      <c r="I35" s="523" t="e">
        <f t="shared" si="12"/>
        <v>#REF!</v>
      </c>
      <c r="J35" s="523" t="e">
        <f>E35-D35</f>
        <v>#REF!</v>
      </c>
      <c r="K35" s="524" t="e">
        <f>ROUND((E35/D35)-1,3)</f>
        <v>#REF!</v>
      </c>
      <c r="L35" s="523" t="e">
        <f>I35-E35</f>
        <v>#REF!</v>
      </c>
      <c r="M35" s="525" t="e">
        <f>ROUND((I35/E35)-1,3)</f>
        <v>#REF!</v>
      </c>
      <c r="N35" s="526" t="e">
        <f>SUM(N33:N33)</f>
        <v>#REF!</v>
      </c>
      <c r="O35" s="523">
        <f>SUM(O33:O33)</f>
        <v>2238866308.48</v>
      </c>
      <c r="P35" s="523">
        <f>SUM(P33:P33)</f>
        <v>2284618903.352128</v>
      </c>
      <c r="Q35" s="523">
        <f t="shared" si="11"/>
        <v>45752594.87212801</v>
      </c>
      <c r="R35" s="527">
        <f t="shared" si="5"/>
        <v>0.02</v>
      </c>
      <c r="S35" s="528"/>
    </row>
    <row r="36" spans="1:19" ht="27" customHeight="1">
      <c r="A36" s="130" t="s">
        <v>302</v>
      </c>
      <c r="B36" s="452" t="s">
        <v>347</v>
      </c>
      <c r="C36" s="124"/>
      <c r="D36" s="453">
        <f aca="true" t="shared" si="13" ref="D36:N36">D38+D37</f>
        <v>0</v>
      </c>
      <c r="E36" s="453">
        <f t="shared" si="13"/>
        <v>536205</v>
      </c>
      <c r="F36" s="453">
        <f t="shared" si="13"/>
        <v>0</v>
      </c>
      <c r="G36" s="453">
        <f t="shared" si="13"/>
        <v>0</v>
      </c>
      <c r="H36" s="453">
        <f t="shared" si="13"/>
        <v>0</v>
      </c>
      <c r="I36" s="453">
        <f t="shared" si="13"/>
        <v>0</v>
      </c>
      <c r="J36" s="453">
        <f t="shared" si="13"/>
        <v>536205</v>
      </c>
      <c r="K36" s="453" t="e">
        <f t="shared" si="13"/>
        <v>#DIV/0!</v>
      </c>
      <c r="L36" s="453">
        <f t="shared" si="13"/>
        <v>-536205</v>
      </c>
      <c r="M36" s="453">
        <f t="shared" si="13"/>
        <v>-2</v>
      </c>
      <c r="N36" s="453">
        <f t="shared" si="13"/>
        <v>0</v>
      </c>
      <c r="O36" s="125">
        <f>O38+O37</f>
        <v>631494</v>
      </c>
      <c r="P36" s="125">
        <f>P38+P37</f>
        <v>4092637.0093423747</v>
      </c>
      <c r="Q36" s="125">
        <f t="shared" si="11"/>
        <v>3461143.0093423747</v>
      </c>
      <c r="R36" s="129">
        <f t="shared" si="5"/>
        <v>5.481</v>
      </c>
      <c r="S36" s="153"/>
    </row>
    <row r="37" spans="1:19" ht="15.75">
      <c r="A37" s="155"/>
      <c r="B37" s="156"/>
      <c r="C37" s="124" t="s">
        <v>384</v>
      </c>
      <c r="D37" s="125">
        <v>0</v>
      </c>
      <c r="E37" s="125">
        <v>302531</v>
      </c>
      <c r="F37" s="125">
        <v>0</v>
      </c>
      <c r="G37" s="125">
        <v>0</v>
      </c>
      <c r="H37" s="125"/>
      <c r="I37" s="125">
        <v>0</v>
      </c>
      <c r="J37" s="125">
        <f>E37-D37</f>
        <v>302531</v>
      </c>
      <c r="K37" s="126" t="e">
        <f>ROUND((E37/D37)-1,3)</f>
        <v>#DIV/0!</v>
      </c>
      <c r="L37" s="125">
        <f>I37-E37</f>
        <v>-302531</v>
      </c>
      <c r="M37" s="127">
        <f>ROUND((I37/E37)-1,3)</f>
        <v>-1</v>
      </c>
      <c r="N37" s="128">
        <f>I37-F37</f>
        <v>0</v>
      </c>
      <c r="O37" s="125">
        <v>386363</v>
      </c>
      <c r="P37" s="125">
        <f>'Table 5 Lab Schools'!D9</f>
        <v>2543903.5513997437</v>
      </c>
      <c r="Q37" s="125">
        <f t="shared" si="11"/>
        <v>2157540.5513997437</v>
      </c>
      <c r="R37" s="129">
        <f t="shared" si="5"/>
        <v>5.584</v>
      </c>
      <c r="S37" s="139"/>
    </row>
    <row r="38" spans="1:19" ht="16.5" thickBot="1">
      <c r="A38" s="454"/>
      <c r="B38" s="423"/>
      <c r="C38" s="423" t="s">
        <v>385</v>
      </c>
      <c r="D38" s="424">
        <v>0</v>
      </c>
      <c r="E38" s="424">
        <v>233674</v>
      </c>
      <c r="F38" s="424">
        <v>0</v>
      </c>
      <c r="G38" s="424">
        <v>0</v>
      </c>
      <c r="H38" s="424"/>
      <c r="I38" s="424">
        <v>0</v>
      </c>
      <c r="J38" s="424">
        <f>E38-D38</f>
        <v>233674</v>
      </c>
      <c r="K38" s="425" t="e">
        <f>ROUND((E38/D38)-1,3)</f>
        <v>#DIV/0!</v>
      </c>
      <c r="L38" s="424">
        <f>I38-E38</f>
        <v>-233674</v>
      </c>
      <c r="M38" s="426">
        <f>ROUND((I38/E38)-1,3)</f>
        <v>-1</v>
      </c>
      <c r="N38" s="427">
        <f>I38-F38</f>
        <v>0</v>
      </c>
      <c r="O38" s="424">
        <v>245131</v>
      </c>
      <c r="P38" s="424">
        <f>'Table 5 Lab Schools'!D11</f>
        <v>1548733.457942631</v>
      </c>
      <c r="Q38" s="424">
        <f t="shared" si="11"/>
        <v>1303602.457942631</v>
      </c>
      <c r="R38" s="421">
        <f t="shared" si="5"/>
        <v>5.318</v>
      </c>
      <c r="S38" s="463"/>
    </row>
    <row r="39" spans="1:19" ht="36" customHeight="1" thickBot="1">
      <c r="A39" s="506" t="s">
        <v>303</v>
      </c>
      <c r="B39" s="507" t="s">
        <v>665</v>
      </c>
      <c r="C39" s="507"/>
      <c r="D39" s="508" t="e">
        <f aca="true" t="shared" si="14" ref="D39:N39">D35+D36</f>
        <v>#REF!</v>
      </c>
      <c r="E39" s="508" t="e">
        <f t="shared" si="14"/>
        <v>#REF!</v>
      </c>
      <c r="F39" s="508" t="e">
        <f t="shared" si="14"/>
        <v>#REF!</v>
      </c>
      <c r="G39" s="508" t="e">
        <f t="shared" si="14"/>
        <v>#REF!</v>
      </c>
      <c r="H39" s="508" t="e">
        <f t="shared" si="14"/>
        <v>#REF!</v>
      </c>
      <c r="I39" s="508" t="e">
        <f t="shared" si="14"/>
        <v>#REF!</v>
      </c>
      <c r="J39" s="508" t="e">
        <f t="shared" si="14"/>
        <v>#REF!</v>
      </c>
      <c r="K39" s="508" t="e">
        <f t="shared" si="14"/>
        <v>#REF!</v>
      </c>
      <c r="L39" s="508" t="e">
        <f t="shared" si="14"/>
        <v>#REF!</v>
      </c>
      <c r="M39" s="508" t="e">
        <f t="shared" si="14"/>
        <v>#REF!</v>
      </c>
      <c r="N39" s="508" t="e">
        <f t="shared" si="14"/>
        <v>#REF!</v>
      </c>
      <c r="O39" s="508">
        <f>O35+O36</f>
        <v>2239497802.48</v>
      </c>
      <c r="P39" s="508">
        <f>P35+P36</f>
        <v>2288711540.36147</v>
      </c>
      <c r="Q39" s="508">
        <f t="shared" si="11"/>
        <v>49213737.8814702</v>
      </c>
      <c r="R39" s="509">
        <f t="shared" si="5"/>
        <v>0.022</v>
      </c>
      <c r="S39" s="510"/>
    </row>
    <row r="40" spans="1:19" ht="28.5" customHeight="1">
      <c r="A40" s="130" t="s">
        <v>304</v>
      </c>
      <c r="B40" s="124" t="s">
        <v>348</v>
      </c>
      <c r="C40" s="124"/>
      <c r="D40" s="150"/>
      <c r="E40" s="150"/>
      <c r="F40" s="150"/>
      <c r="G40" s="150"/>
      <c r="H40" s="150"/>
      <c r="I40" s="150"/>
      <c r="J40" s="150"/>
      <c r="K40" s="455"/>
      <c r="L40" s="150"/>
      <c r="M40" s="137"/>
      <c r="N40" s="456"/>
      <c r="O40" s="150"/>
      <c r="P40" s="150"/>
      <c r="Q40" s="150"/>
      <c r="R40" s="129"/>
      <c r="S40" s="139"/>
    </row>
    <row r="41" spans="1:19" ht="15.75">
      <c r="A41" s="154"/>
      <c r="B41" s="149" t="s">
        <v>274</v>
      </c>
      <c r="C41" s="124" t="s">
        <v>291</v>
      </c>
      <c r="D41" s="125">
        <v>-1240429</v>
      </c>
      <c r="E41" s="125">
        <v>-2961111</v>
      </c>
      <c r="F41" s="125">
        <v>-2496342</v>
      </c>
      <c r="G41" s="125">
        <v>0</v>
      </c>
      <c r="H41" s="125"/>
      <c r="I41" s="125">
        <v>-3411397</v>
      </c>
      <c r="J41" s="125">
        <f>E41-D41</f>
        <v>-1720682</v>
      </c>
      <c r="K41" s="126">
        <f>ROUND((E41/D41)-1,3)</f>
        <v>1.387</v>
      </c>
      <c r="L41" s="125">
        <f>I41-E41</f>
        <v>-450286</v>
      </c>
      <c r="M41" s="127">
        <f>ROUND((I41/E41)-1,3)</f>
        <v>0.152</v>
      </c>
      <c r="N41" s="128">
        <f>I41-F41</f>
        <v>-915055</v>
      </c>
      <c r="O41" s="125">
        <v>-2246193</v>
      </c>
      <c r="P41" s="125">
        <f>'[1]Comparison original &amp; adjusted'!$E$73+'Table 5 Lab Schools'!E12+'Table 5 Lab Schools'!F12</f>
        <v>14198880.49540001</v>
      </c>
      <c r="Q41" s="125">
        <f t="shared" si="11"/>
        <v>16445073.49540001</v>
      </c>
      <c r="R41" s="129">
        <f t="shared" si="5"/>
        <v>-7.321</v>
      </c>
      <c r="S41" s="132"/>
    </row>
    <row r="42" spans="1:19" ht="16.5" thickBot="1">
      <c r="A42" s="428"/>
      <c r="B42" s="429" t="s">
        <v>276</v>
      </c>
      <c r="C42" s="430" t="s">
        <v>349</v>
      </c>
      <c r="D42" s="431"/>
      <c r="E42" s="431"/>
      <c r="F42" s="431"/>
      <c r="G42" s="431"/>
      <c r="H42" s="431"/>
      <c r="I42" s="431"/>
      <c r="J42" s="431"/>
      <c r="K42" s="433"/>
      <c r="L42" s="431"/>
      <c r="M42" s="434"/>
      <c r="N42" s="457"/>
      <c r="O42" s="431">
        <v>-19000019</v>
      </c>
      <c r="P42" s="431">
        <f>'Table 3 Distribution W Adj'!D76</f>
        <v>-22923820.99999999</v>
      </c>
      <c r="Q42" s="431">
        <f t="shared" si="11"/>
        <v>-3923801.999999989</v>
      </c>
      <c r="R42" s="435">
        <f t="shared" si="5"/>
        <v>0.207</v>
      </c>
      <c r="S42" s="463"/>
    </row>
    <row r="43" spans="1:19" ht="30" customHeight="1">
      <c r="A43" s="246" t="s">
        <v>305</v>
      </c>
      <c r="B43" s="245" t="s">
        <v>664</v>
      </c>
      <c r="C43" s="239"/>
      <c r="D43" s="240" t="e">
        <f aca="true" t="shared" si="15" ref="D43:I43">D39+D41</f>
        <v>#REF!</v>
      </c>
      <c r="E43" s="240" t="e">
        <f t="shared" si="15"/>
        <v>#REF!</v>
      </c>
      <c r="F43" s="240" t="e">
        <f t="shared" si="15"/>
        <v>#REF!</v>
      </c>
      <c r="G43" s="240" t="e">
        <f t="shared" si="15"/>
        <v>#REF!</v>
      </c>
      <c r="H43" s="240" t="e">
        <f t="shared" si="15"/>
        <v>#REF!</v>
      </c>
      <c r="I43" s="240" t="e">
        <f t="shared" si="15"/>
        <v>#REF!</v>
      </c>
      <c r="J43" s="240" t="e">
        <f>E43-D43</f>
        <v>#REF!</v>
      </c>
      <c r="K43" s="241" t="e">
        <f>ROUND((E43/D43)-1,3)</f>
        <v>#REF!</v>
      </c>
      <c r="L43" s="240" t="e">
        <f>I43-E43</f>
        <v>#REF!</v>
      </c>
      <c r="M43" s="242" t="e">
        <f>ROUND((I43/E43)-1,3)</f>
        <v>#REF!</v>
      </c>
      <c r="N43" s="243" t="e">
        <f>N39+N41</f>
        <v>#REF!</v>
      </c>
      <c r="O43" s="240">
        <f>O39+O41+O42</f>
        <v>2218251590.48</v>
      </c>
      <c r="P43" s="240">
        <f>P39+P41+P42</f>
        <v>2279986599.85687</v>
      </c>
      <c r="Q43" s="240">
        <f t="shared" si="11"/>
        <v>61735009.376870155</v>
      </c>
      <c r="R43" s="129">
        <f t="shared" si="5"/>
        <v>0.028</v>
      </c>
      <c r="S43" s="139"/>
    </row>
    <row r="44" spans="1:19" ht="16.5" thickBot="1">
      <c r="A44" s="437"/>
      <c r="B44" s="438" t="s">
        <v>274</v>
      </c>
      <c r="C44" s="458" t="s">
        <v>350</v>
      </c>
      <c r="D44" s="440"/>
      <c r="E44" s="440" t="e">
        <f>E43-D43</f>
        <v>#REF!</v>
      </c>
      <c r="F44" s="440"/>
      <c r="G44" s="440"/>
      <c r="H44" s="440"/>
      <c r="I44" s="440" t="e">
        <f>I43-E43</f>
        <v>#REF!</v>
      </c>
      <c r="J44" s="440"/>
      <c r="K44" s="441"/>
      <c r="L44" s="440"/>
      <c r="M44" s="442"/>
      <c r="N44" s="443"/>
      <c r="O44" s="440">
        <v>34419182.48000002</v>
      </c>
      <c r="P44" s="440">
        <f>P43-O43</f>
        <v>61735009.376870155</v>
      </c>
      <c r="Q44" s="440">
        <f t="shared" si="11"/>
        <v>27315826.896870136</v>
      </c>
      <c r="R44" s="435">
        <f t="shared" si="5"/>
        <v>0.794</v>
      </c>
      <c r="S44" s="461"/>
    </row>
    <row r="45" spans="1:19" ht="33" customHeight="1" thickBot="1">
      <c r="A45" s="497" t="s">
        <v>306</v>
      </c>
      <c r="B45" s="498" t="s">
        <v>292</v>
      </c>
      <c r="C45" s="499"/>
      <c r="D45" s="500">
        <v>1974506903</v>
      </c>
      <c r="E45" s="500">
        <v>2099675563</v>
      </c>
      <c r="F45" s="500">
        <v>2192578998</v>
      </c>
      <c r="G45" s="500">
        <v>2192578998</v>
      </c>
      <c r="H45" s="500">
        <v>2192578998</v>
      </c>
      <c r="I45" s="500">
        <v>2192578998</v>
      </c>
      <c r="J45" s="500">
        <f>E45-D45</f>
        <v>125168660</v>
      </c>
      <c r="K45" s="501">
        <f>ROUND((E45/D45)-1,3)</f>
        <v>0.063</v>
      </c>
      <c r="L45" s="500">
        <f>I45-E45</f>
        <v>92903435</v>
      </c>
      <c r="M45" s="502">
        <f>ROUND((I45/E45)-1,3)</f>
        <v>0.044</v>
      </c>
      <c r="N45" s="503">
        <v>2192578998</v>
      </c>
      <c r="O45" s="500">
        <v>2257642085</v>
      </c>
      <c r="P45" s="500">
        <v>2243837611</v>
      </c>
      <c r="Q45" s="500">
        <f t="shared" si="11"/>
        <v>-13804474</v>
      </c>
      <c r="R45" s="504">
        <f t="shared" si="5"/>
        <v>-0.006</v>
      </c>
      <c r="S45" s="505"/>
    </row>
    <row r="46" spans="1:19" ht="31.5" customHeight="1">
      <c r="A46" s="246" t="s">
        <v>307</v>
      </c>
      <c r="B46" s="459" t="s">
        <v>293</v>
      </c>
      <c r="C46" s="460"/>
      <c r="D46" s="252"/>
      <c r="E46" s="252"/>
      <c r="F46" s="252"/>
      <c r="G46" s="253"/>
      <c r="H46" s="253"/>
      <c r="I46" s="252"/>
      <c r="J46" s="253"/>
      <c r="K46" s="254"/>
      <c r="L46" s="253"/>
      <c r="M46" s="255"/>
      <c r="N46" s="251"/>
      <c r="O46" s="253"/>
      <c r="P46" s="253"/>
      <c r="Q46" s="253"/>
      <c r="R46" s="236"/>
      <c r="S46" s="464"/>
    </row>
    <row r="47" spans="1:19" ht="16.5" thickBot="1">
      <c r="A47" s="256"/>
      <c r="B47" s="257" t="s">
        <v>666</v>
      </c>
      <c r="C47" s="258"/>
      <c r="D47" s="259" t="e">
        <f>D45-D43</f>
        <v>#REF!</v>
      </c>
      <c r="E47" s="259" t="e">
        <f>E45-E43</f>
        <v>#REF!</v>
      </c>
      <c r="F47" s="259" t="e">
        <f>F45-F43</f>
        <v>#REF!</v>
      </c>
      <c r="G47" s="259" t="e">
        <f>G45-G43</f>
        <v>#REF!</v>
      </c>
      <c r="H47" s="259" t="e">
        <f>H45-H43</f>
        <v>#REF!</v>
      </c>
      <c r="I47" s="259" t="e">
        <f>+I43-I45</f>
        <v>#REF!</v>
      </c>
      <c r="J47" s="259" t="e">
        <f>E47-D47</f>
        <v>#REF!</v>
      </c>
      <c r="K47" s="260" t="e">
        <f>ROUND((E47/D47)-1,3)</f>
        <v>#REF!</v>
      </c>
      <c r="L47" s="259" t="e">
        <f>I47-E47</f>
        <v>#REF!</v>
      </c>
      <c r="M47" s="261" t="e">
        <f>ROUND((I47/E47)-1,3)</f>
        <v>#REF!</v>
      </c>
      <c r="N47" s="262" t="e">
        <f>I47-F47</f>
        <v>#REF!</v>
      </c>
      <c r="O47" s="259">
        <f>+O43-O45</f>
        <v>-39390494.51999998</v>
      </c>
      <c r="P47" s="259">
        <f>+P43-P45</f>
        <v>36148988.856870174</v>
      </c>
      <c r="Q47" s="259">
        <f t="shared" si="11"/>
        <v>75539483.37687016</v>
      </c>
      <c r="R47" s="237">
        <f t="shared" si="5"/>
        <v>-1.918</v>
      </c>
      <c r="S47" s="157"/>
    </row>
    <row r="48" ht="13.5" thickTop="1"/>
    <row r="50" ht="12.75">
      <c r="O50" s="377"/>
    </row>
    <row r="52" ht="15">
      <c r="O52" s="378"/>
    </row>
  </sheetData>
  <mergeCells count="5">
    <mergeCell ref="Q3:Q6"/>
    <mergeCell ref="A2:R2"/>
    <mergeCell ref="A1:R1"/>
    <mergeCell ref="P3:P6"/>
    <mergeCell ref="O3:O6"/>
  </mergeCells>
  <printOptions/>
  <pageMargins left="0.5" right="0.15" top="0.45" bottom="0.56" header="0.25" footer="0.26"/>
  <pageSetup horizontalDpi="600" verticalDpi="600" orientation="portrait" paperSize="5" scale="85" r:id="rId1"/>
  <headerFooter alignWithMargins="0">
    <oddFooter>&amp;L&amp;F &amp;A, Prepared by Division of Education Finance&amp;R&amp;D, 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5" sqref="X5"/>
    </sheetView>
  </sheetViews>
  <sheetFormatPr defaultColWidth="9.140625" defaultRowHeight="12.75"/>
  <cols>
    <col min="1" max="1" width="6.28125" style="2" customWidth="1"/>
    <col min="2" max="2" width="20.57421875" style="3" bestFit="1" customWidth="1"/>
    <col min="3" max="3" width="13.00390625" style="3" customWidth="1"/>
    <col min="4" max="4" width="13.8515625" style="3" customWidth="1"/>
    <col min="5" max="5" width="14.57421875" style="3" customWidth="1"/>
    <col min="6" max="6" width="14.28125" style="3" customWidth="1"/>
    <col min="7" max="7" width="16.421875" style="3" customWidth="1"/>
    <col min="8" max="9" width="14.28125" style="3" customWidth="1"/>
    <col min="10" max="10" width="13.421875" style="3" customWidth="1"/>
    <col min="11" max="11" width="18.140625" style="3" customWidth="1"/>
    <col min="12" max="12" width="13.8515625" style="3" customWidth="1"/>
    <col min="13" max="13" width="12.7109375" style="3" customWidth="1"/>
    <col min="14" max="14" width="15.00390625" style="3" customWidth="1"/>
    <col min="15" max="15" width="14.57421875" style="3" customWidth="1"/>
    <col min="16" max="16" width="16.7109375" style="3" customWidth="1"/>
    <col min="17" max="17" width="13.57421875" style="3" customWidth="1"/>
    <col min="18" max="18" width="9.140625" style="3" customWidth="1"/>
    <col min="19" max="19" width="18.28125" style="3" customWidth="1"/>
    <col min="20" max="20" width="12.7109375" style="3" customWidth="1"/>
  </cols>
  <sheetData>
    <row r="1" spans="1:20" s="98" customFormat="1" ht="50.25" customHeight="1">
      <c r="A1" s="263"/>
      <c r="B1" s="473"/>
      <c r="C1" s="556" t="s">
        <v>641</v>
      </c>
      <c r="D1" s="557"/>
      <c r="E1" s="557"/>
      <c r="F1" s="557"/>
      <c r="G1" s="557"/>
      <c r="H1" s="557"/>
      <c r="I1" s="556" t="s">
        <v>499</v>
      </c>
      <c r="J1" s="557"/>
      <c r="K1" s="557"/>
      <c r="L1" s="557"/>
      <c r="M1" s="557"/>
      <c r="N1" s="557"/>
      <c r="O1" s="556" t="s">
        <v>500</v>
      </c>
      <c r="P1" s="557"/>
      <c r="Q1" s="557"/>
      <c r="R1" s="557"/>
      <c r="S1" s="557"/>
      <c r="T1" s="557"/>
    </row>
    <row r="2" spans="1:15" s="98" customFormat="1" ht="23.25">
      <c r="A2" s="13"/>
      <c r="C2" s="174" t="s">
        <v>642</v>
      </c>
      <c r="D2" s="174"/>
      <c r="I2" s="175"/>
      <c r="O2" s="175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/>
      <c r="B4" s="13"/>
      <c r="C4" s="13" t="s">
        <v>0</v>
      </c>
      <c r="D4" s="13"/>
      <c r="E4" s="13"/>
      <c r="F4" s="13"/>
      <c r="G4" s="266">
        <f>'Table 4 Formula'!AA4</f>
        <v>0.35</v>
      </c>
      <c r="H4" s="13"/>
      <c r="I4" s="13"/>
      <c r="J4" s="13"/>
      <c r="K4" s="13"/>
      <c r="L4" s="13"/>
      <c r="M4" s="48">
        <f>'Table 4 Formula'!AJ4</f>
        <v>0.4</v>
      </c>
      <c r="N4" s="13"/>
      <c r="O4" s="13"/>
      <c r="P4" s="13"/>
      <c r="Q4" s="13"/>
      <c r="R4" s="13"/>
      <c r="S4" s="13"/>
      <c r="T4" s="13"/>
    </row>
    <row r="5" spans="1:20" ht="63.75">
      <c r="A5" s="281" t="s">
        <v>383</v>
      </c>
      <c r="B5" s="281" t="s">
        <v>130</v>
      </c>
      <c r="C5" s="395" t="str">
        <f>'Table 4 Formula'!C5</f>
        <v>Oct.1, 2000 Student Membership (Per SIS) </v>
      </c>
      <c r="D5" s="282" t="str">
        <f>'Table 4 Formula'!U5</f>
        <v>Total Weighted Membership and/or Units </v>
      </c>
      <c r="E5" s="282" t="str">
        <f>'Table 4 Formula'!V5</f>
        <v>Per Pupil Amount</v>
      </c>
      <c r="F5" s="282" t="str">
        <f>'Table 4 Formula'!W5</f>
        <v>TOTAL LEVEL 1 COSTS </v>
      </c>
      <c r="G5" s="282" t="str">
        <f>'Table 4 Formula'!AA5</f>
        <v>Local Share of Level 1 </v>
      </c>
      <c r="H5" s="395" t="str">
        <f>'Table 4 Formula'!AC5</f>
        <v>STATE SHARE OF LEVEL 1 </v>
      </c>
      <c r="I5" s="282" t="str">
        <f>'Table 4 Formula'!AF5</f>
        <v>Local Revenue Over Level 1 </v>
      </c>
      <c r="J5" s="282" t="str">
        <f>'Table 4 Formula'!AG5</f>
        <v>Local Revenue Under Level 1 </v>
      </c>
      <c r="K5" s="282" t="str">
        <f>'Table 4 Formula'!AI5</f>
        <v>Eligible Local Revenue Level 2 </v>
      </c>
      <c r="L5" s="282" t="s">
        <v>127</v>
      </c>
      <c r="M5" s="395" t="str">
        <f>'Table 4 Formula'!AJ5</f>
        <v>State Aid Level 2 </v>
      </c>
      <c r="N5" s="282" t="str">
        <f>'Table 4 Formula'!AN5</f>
        <v>2000-2001 NEW FORMULA STATE AID (Levels 1 and 2)</v>
      </c>
      <c r="O5" s="282" t="str">
        <f>'Table 4 Formula'!AU5</f>
        <v>Subsequent Year Change </v>
      </c>
      <c r="P5" s="282" t="s">
        <v>128</v>
      </c>
      <c r="Q5" s="282" t="str">
        <f>'Table 4 Formula'!AV5</f>
        <v>Prior Year Formula Calculation </v>
      </c>
      <c r="R5" s="282" t="s">
        <v>129</v>
      </c>
      <c r="S5" s="395" t="str">
        <f>'Table 4 Formula'!BA5</f>
        <v>2000-2001    STATE SHARE OF COST (LEVELS 1 and 2)</v>
      </c>
      <c r="T5" s="282" t="str">
        <f>'Table 4 Formula'!BB5</f>
        <v>2000-2001        Per Pupil State Share            (Levels 1 and 2) </v>
      </c>
    </row>
    <row r="6" spans="1:20" ht="12.75">
      <c r="A6" s="49"/>
      <c r="B6" s="49"/>
      <c r="C6" s="264" t="str">
        <f>'Table 4 Formula'!C6</f>
        <v>(1)</v>
      </c>
      <c r="D6" s="264" t="str">
        <f>'Table 4 Formula'!U6</f>
        <v>(8)</v>
      </c>
      <c r="E6" s="264" t="str">
        <f>'Table 4 Formula'!V6</f>
        <v>(9)</v>
      </c>
      <c r="F6" s="264" t="str">
        <f>'Table 4 Formula'!W6</f>
        <v>(10)</v>
      </c>
      <c r="G6" s="264" t="str">
        <f>'Table 4 Formula'!AA6</f>
        <v>(14)</v>
      </c>
      <c r="H6" s="264" t="str">
        <f>'Table 4 Formula'!AC6</f>
        <v>(16)</v>
      </c>
      <c r="I6" s="264" t="str">
        <f>'Table 4 Formula'!AF6</f>
        <v>(19)</v>
      </c>
      <c r="J6" s="264" t="str">
        <f>'Table 4 Formula'!AG6</f>
        <v>(20)</v>
      </c>
      <c r="K6" s="264" t="str">
        <f>'Table 4 Formula'!AI6</f>
        <v>(22)</v>
      </c>
      <c r="L6" s="264"/>
      <c r="M6" s="264" t="str">
        <f>'Table 4 Formula'!AJ6</f>
        <v>(23)</v>
      </c>
      <c r="N6" s="264" t="str">
        <f>'Table 4 Formula'!AN6</f>
        <v>(27)</v>
      </c>
      <c r="O6" s="264" t="str">
        <f>'Table 4 Formula'!AU6</f>
        <v>(30)</v>
      </c>
      <c r="P6" s="264"/>
      <c r="Q6" s="264" t="str">
        <f>'Table 4 Formula'!AV6</f>
        <v>(31)</v>
      </c>
      <c r="R6" s="264"/>
      <c r="S6" s="264" t="str">
        <f>'Table 4 Formula'!BA6</f>
        <v>(34)</v>
      </c>
      <c r="T6" s="264" t="str">
        <f>'Table 4 Formula'!BB6</f>
        <v>(34a)</v>
      </c>
    </row>
    <row r="7" spans="1:20" ht="12.75">
      <c r="A7" s="51"/>
      <c r="B7" s="52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2.75">
      <c r="A8" s="60">
        <v>1</v>
      </c>
      <c r="B8" s="61" t="s">
        <v>3</v>
      </c>
      <c r="C8" s="78">
        <f>'Table 4 Formula'!C8</f>
        <v>9811</v>
      </c>
      <c r="D8" s="78">
        <f>'Table 4 Formula'!U8</f>
        <v>13612</v>
      </c>
      <c r="E8" s="159">
        <f>'Table 4 Formula'!V8</f>
        <v>3103</v>
      </c>
      <c r="F8" s="77">
        <f>'Table 4 Formula'!W8</f>
        <v>42238036</v>
      </c>
      <c r="G8" s="77">
        <f>'Table 4 Formula'!AA8</f>
        <v>8851737.594577804</v>
      </c>
      <c r="H8" s="77">
        <f>'Table 4 Formula'!AC8</f>
        <v>33386298.405422196</v>
      </c>
      <c r="I8" s="77">
        <f>'Table 4 Formula'!AF8</f>
        <v>540104.4054221958</v>
      </c>
      <c r="J8" s="79">
        <f>'Table 4 Formula'!AG8</f>
        <v>0</v>
      </c>
      <c r="K8" s="77">
        <f>'Table 4 Formula'!AI8</f>
        <v>540104.4054221958</v>
      </c>
      <c r="L8" s="61">
        <f>IF(K8&gt;0,1,0)</f>
        <v>1</v>
      </c>
      <c r="M8" s="77">
        <f>'Table 4 Formula'!AJ8</f>
        <v>346067.0141502382</v>
      </c>
      <c r="N8" s="77">
        <f>'Table 4 Formula'!AN8</f>
        <v>33732365.419572435</v>
      </c>
      <c r="O8" s="79">
        <f>'Table 4 Formula'!AU8</f>
        <v>484246.2284</v>
      </c>
      <c r="P8" s="61">
        <f>IF(O8&gt;0,1,0)</f>
        <v>1</v>
      </c>
      <c r="Q8" s="77">
        <f>'Table 4 Formula'!AV8</f>
        <v>0</v>
      </c>
      <c r="R8" s="61">
        <f>IF(Q8&gt;0,1,0)</f>
        <v>0</v>
      </c>
      <c r="S8" s="77">
        <f>'Table 4 Formula'!BA8</f>
        <v>33732365.4317</v>
      </c>
      <c r="T8" s="77">
        <f>'Table 4 Formula'!BB8</f>
        <v>3438.22</v>
      </c>
    </row>
    <row r="9" spans="1:20" ht="12.75">
      <c r="A9" s="60">
        <v>2</v>
      </c>
      <c r="B9" s="61" t="s">
        <v>4</v>
      </c>
      <c r="C9" s="78">
        <f>'Table 4 Formula'!C9</f>
        <v>4258</v>
      </c>
      <c r="D9" s="78">
        <f>'Table 4 Formula'!U9</f>
        <v>5864</v>
      </c>
      <c r="E9" s="159">
        <f>'Table 4 Formula'!V9</f>
        <v>3103</v>
      </c>
      <c r="F9" s="77">
        <f>'Table 4 Formula'!W9</f>
        <v>18195992</v>
      </c>
      <c r="G9" s="77">
        <f>'Table 4 Formula'!AA9</f>
        <v>3493473.060413668</v>
      </c>
      <c r="H9" s="77">
        <f>'Table 4 Formula'!AC9</f>
        <v>14702518.939586332</v>
      </c>
      <c r="I9" s="77">
        <f>'Table 4 Formula'!AF9</f>
        <v>2948967.439586332</v>
      </c>
      <c r="J9" s="79">
        <f>'Table 4 Formula'!AG9</f>
        <v>0</v>
      </c>
      <c r="K9" s="77">
        <f>'Table 4 Formula'!AI9</f>
        <v>2948967.439586332</v>
      </c>
      <c r="L9" s="61">
        <f aca="true" t="shared" si="0" ref="L9:L72">IF(K9&gt;0,1,0)</f>
        <v>1</v>
      </c>
      <c r="M9" s="77">
        <f>'Table 4 Formula'!AJ9</f>
        <v>1978381.6599383464</v>
      </c>
      <c r="N9" s="77">
        <f>'Table 4 Formula'!AN9</f>
        <v>16680900.599524679</v>
      </c>
      <c r="O9" s="79">
        <f>'Table 4 Formula'!AU9</f>
        <v>604194.4263</v>
      </c>
      <c r="P9" s="61">
        <f aca="true" t="shared" si="1" ref="P9:P72">IF(O9&gt;0,1,0)</f>
        <v>1</v>
      </c>
      <c r="Q9" s="77">
        <f>'Table 4 Formula'!AV9</f>
        <v>0</v>
      </c>
      <c r="R9" s="61">
        <f aca="true" t="shared" si="2" ref="R9:R72">IF(Q9&gt;0,1,0)</f>
        <v>0</v>
      </c>
      <c r="S9" s="77">
        <f>'Table 4 Formula'!BA9</f>
        <v>16680900.6062</v>
      </c>
      <c r="T9" s="77">
        <f>'Table 4 Formula'!BB9</f>
        <v>3917.54</v>
      </c>
    </row>
    <row r="10" spans="1:20" ht="12.75">
      <c r="A10" s="60">
        <v>3</v>
      </c>
      <c r="B10" s="61" t="s">
        <v>5</v>
      </c>
      <c r="C10" s="78">
        <f>'Table 4 Formula'!C10</f>
        <v>14827</v>
      </c>
      <c r="D10" s="78">
        <f>'Table 4 Formula'!U10</f>
        <v>19520</v>
      </c>
      <c r="E10" s="159">
        <f>'Table 4 Formula'!V10</f>
        <v>3103</v>
      </c>
      <c r="F10" s="77">
        <f>'Table 4 Formula'!W10</f>
        <v>60570560</v>
      </c>
      <c r="G10" s="77">
        <f>'Table 4 Formula'!AA10</f>
        <v>26815026.427267183</v>
      </c>
      <c r="H10" s="77">
        <f>'Table 4 Formula'!AC10</f>
        <v>33755533.57273282</v>
      </c>
      <c r="I10" s="77">
        <f>'Table 4 Formula'!AF10</f>
        <v>23237042.072732817</v>
      </c>
      <c r="J10" s="79">
        <f>'Table 4 Formula'!AG10</f>
        <v>0</v>
      </c>
      <c r="K10" s="77">
        <f>'Table 4 Formula'!AI10</f>
        <v>19988285</v>
      </c>
      <c r="L10" s="61">
        <f t="shared" si="0"/>
        <v>1</v>
      </c>
      <c r="M10" s="77">
        <f>'Table 4 Formula'!AJ10</f>
        <v>4818644.504720689</v>
      </c>
      <c r="N10" s="77">
        <f>'Table 4 Formula'!AN10</f>
        <v>38574178.07745351</v>
      </c>
      <c r="O10" s="79">
        <f>'Table 4 Formula'!AU10</f>
        <v>1710321.0761</v>
      </c>
      <c r="P10" s="61">
        <f t="shared" si="1"/>
        <v>1</v>
      </c>
      <c r="Q10" s="77">
        <f>'Table 4 Formula'!AV10</f>
        <v>0</v>
      </c>
      <c r="R10" s="61">
        <f t="shared" si="2"/>
        <v>0</v>
      </c>
      <c r="S10" s="77">
        <f>'Table 4 Formula'!BA10</f>
        <v>38574178.0761</v>
      </c>
      <c r="T10" s="77">
        <f>'Table 4 Formula'!BB10</f>
        <v>2601.62</v>
      </c>
    </row>
    <row r="11" spans="1:20" ht="12.75">
      <c r="A11" s="60">
        <v>4</v>
      </c>
      <c r="B11" s="61" t="s">
        <v>6</v>
      </c>
      <c r="C11" s="78">
        <f>'Table 4 Formula'!C11</f>
        <v>4409</v>
      </c>
      <c r="D11" s="78">
        <f>'Table 4 Formula'!U11</f>
        <v>6258</v>
      </c>
      <c r="E11" s="159">
        <f>'Table 4 Formula'!V11</f>
        <v>3103</v>
      </c>
      <c r="F11" s="77">
        <f>'Table 4 Formula'!W11</f>
        <v>19418574</v>
      </c>
      <c r="G11" s="77">
        <f>'Table 4 Formula'!AA11</f>
        <v>3631547.7082885276</v>
      </c>
      <c r="H11" s="77">
        <f>'Table 4 Formula'!AC11</f>
        <v>15787026.291711472</v>
      </c>
      <c r="I11" s="77">
        <f>'Table 4 Formula'!AF11</f>
        <v>3542666.2917114724</v>
      </c>
      <c r="J11" s="79">
        <f>'Table 4 Formula'!AG11</f>
        <v>0</v>
      </c>
      <c r="K11" s="77">
        <f>'Table 4 Formula'!AI11</f>
        <v>3542666.2917114724</v>
      </c>
      <c r="L11" s="61">
        <f t="shared" si="0"/>
        <v>1</v>
      </c>
      <c r="M11" s="77">
        <f>'Table 4 Formula'!AJ11</f>
        <v>2406904.405448316</v>
      </c>
      <c r="N11" s="77">
        <f>'Table 4 Formula'!AN11</f>
        <v>18193930.69715979</v>
      </c>
      <c r="O11" s="79">
        <f>'Table 4 Formula'!AU11</f>
        <v>-32050.3686</v>
      </c>
      <c r="P11" s="61">
        <f t="shared" si="1"/>
        <v>0</v>
      </c>
      <c r="Q11" s="77">
        <f>'Table 4 Formula'!AV11</f>
        <v>0</v>
      </c>
      <c r="R11" s="61">
        <f t="shared" si="2"/>
        <v>0</v>
      </c>
      <c r="S11" s="77">
        <f>'Table 4 Formula'!BA11</f>
        <v>18193930.6883</v>
      </c>
      <c r="T11" s="77">
        <f>'Table 4 Formula'!BB11</f>
        <v>4126.54</v>
      </c>
    </row>
    <row r="12" spans="1:20" ht="12.75">
      <c r="A12" s="83">
        <v>5</v>
      </c>
      <c r="B12" s="84" t="s">
        <v>7</v>
      </c>
      <c r="C12" s="96">
        <f>'Table 4 Formula'!C12</f>
        <v>6896</v>
      </c>
      <c r="D12" s="96">
        <f>'Table 4 Formula'!U12</f>
        <v>9179</v>
      </c>
      <c r="E12" s="160">
        <f>'Table 4 Formula'!V12</f>
        <v>3103</v>
      </c>
      <c r="F12" s="95">
        <f>'Table 4 Formula'!W12</f>
        <v>28482437</v>
      </c>
      <c r="G12" s="95">
        <f>'Table 4 Formula'!AA12</f>
        <v>5188083.7186507555</v>
      </c>
      <c r="H12" s="95">
        <f>'Table 4 Formula'!AC12</f>
        <v>23294353.281349245</v>
      </c>
      <c r="I12" s="95">
        <f>'Table 4 Formula'!AF12</f>
        <v>1201462.2813492445</v>
      </c>
      <c r="J12" s="97">
        <f>'Table 4 Formula'!AG12</f>
        <v>0</v>
      </c>
      <c r="K12" s="95">
        <f>'Table 4 Formula'!AI12</f>
        <v>1201462.2813492445</v>
      </c>
      <c r="L12" s="84">
        <f t="shared" si="0"/>
        <v>1</v>
      </c>
      <c r="M12" s="95">
        <f>'Table 4 Formula'!AJ12</f>
        <v>826296.3894857345</v>
      </c>
      <c r="N12" s="95">
        <f>'Table 4 Formula'!AN12</f>
        <v>24120649.67083498</v>
      </c>
      <c r="O12" s="97">
        <f>'Table 4 Formula'!AU12</f>
        <v>286772.1781</v>
      </c>
      <c r="P12" s="84">
        <f t="shared" si="1"/>
        <v>1</v>
      </c>
      <c r="Q12" s="95">
        <f>'Table 4 Formula'!AV12</f>
        <v>0</v>
      </c>
      <c r="R12" s="84">
        <f t="shared" si="2"/>
        <v>0</v>
      </c>
      <c r="S12" s="95">
        <f>'Table 4 Formula'!BA12</f>
        <v>24120649.6419</v>
      </c>
      <c r="T12" s="95">
        <f>'Table 4 Formula'!BB12</f>
        <v>3497.77</v>
      </c>
    </row>
    <row r="13" spans="1:20" ht="12.75">
      <c r="A13" s="60">
        <v>6</v>
      </c>
      <c r="B13" s="61" t="s">
        <v>8</v>
      </c>
      <c r="C13" s="78">
        <f>'Table 4 Formula'!C13</f>
        <v>6062</v>
      </c>
      <c r="D13" s="78">
        <f>'Table 4 Formula'!U13</f>
        <v>8019</v>
      </c>
      <c r="E13" s="159">
        <f>'Table 4 Formula'!V13</f>
        <v>3103</v>
      </c>
      <c r="F13" s="77">
        <f>'Table 4 Formula'!W13</f>
        <v>24882957</v>
      </c>
      <c r="G13" s="77">
        <f>'Table 4 Formula'!AA13</f>
        <v>6926892.33931284</v>
      </c>
      <c r="H13" s="77">
        <f>'Table 4 Formula'!AC13</f>
        <v>17956064.66068716</v>
      </c>
      <c r="I13" s="77">
        <f>'Table 4 Formula'!AF13</f>
        <v>5586600.66068716</v>
      </c>
      <c r="J13" s="79">
        <f>'Table 4 Formula'!AG13</f>
        <v>0</v>
      </c>
      <c r="K13" s="77">
        <f>'Table 4 Formula'!AI13</f>
        <v>5586600.66068716</v>
      </c>
      <c r="L13" s="61">
        <f t="shared" si="0"/>
        <v>1</v>
      </c>
      <c r="M13" s="77">
        <f>'Table 4 Formula'!AJ13</f>
        <v>2920557.115731327</v>
      </c>
      <c r="N13" s="77">
        <f>'Table 4 Formula'!AN13</f>
        <v>20876621.776418485</v>
      </c>
      <c r="O13" s="79">
        <f>'Table 4 Formula'!AU13</f>
        <v>782294.8816</v>
      </c>
      <c r="P13" s="61">
        <f t="shared" si="1"/>
        <v>1</v>
      </c>
      <c r="Q13" s="77">
        <f>'Table 4 Formula'!AV13</f>
        <v>0</v>
      </c>
      <c r="R13" s="61">
        <f t="shared" si="2"/>
        <v>0</v>
      </c>
      <c r="S13" s="77">
        <f>'Table 4 Formula'!BA13</f>
        <v>20876621.7916</v>
      </c>
      <c r="T13" s="77">
        <f>'Table 4 Formula'!BB13</f>
        <v>3443.85</v>
      </c>
    </row>
    <row r="14" spans="1:20" ht="12.75">
      <c r="A14" s="60">
        <v>7</v>
      </c>
      <c r="B14" s="61" t="s">
        <v>9</v>
      </c>
      <c r="C14" s="78">
        <f>'Table 4 Formula'!C14</f>
        <v>2528</v>
      </c>
      <c r="D14" s="78">
        <f>'Table 4 Formula'!U14</f>
        <v>3747</v>
      </c>
      <c r="E14" s="159">
        <f>'Table 4 Formula'!V14</f>
        <v>3103</v>
      </c>
      <c r="F14" s="77">
        <f>'Table 4 Formula'!W14</f>
        <v>11626941</v>
      </c>
      <c r="G14" s="77">
        <f>'Table 4 Formula'!AA14</f>
        <v>4750433.255497173</v>
      </c>
      <c r="H14" s="77">
        <f>'Table 4 Formula'!AC14</f>
        <v>6876507.744502827</v>
      </c>
      <c r="I14" s="77">
        <f>'Table 4 Formula'!AF14</f>
        <v>3200639.2445028266</v>
      </c>
      <c r="J14" s="79">
        <f>'Table 4 Formula'!AG14</f>
        <v>0</v>
      </c>
      <c r="K14" s="77">
        <f>'Table 4 Formula'!AI14</f>
        <v>3200639.2445028266</v>
      </c>
      <c r="L14" s="61">
        <f t="shared" si="0"/>
        <v>1</v>
      </c>
      <c r="M14" s="77">
        <f>'Table 4 Formula'!AJ14</f>
        <v>958886.6166797249</v>
      </c>
      <c r="N14" s="77">
        <f>'Table 4 Formula'!AN14</f>
        <v>7835394.361182552</v>
      </c>
      <c r="O14" s="79">
        <f>'Table 4 Formula'!AU14</f>
        <v>-203037.6468</v>
      </c>
      <c r="P14" s="61">
        <f t="shared" si="1"/>
        <v>0</v>
      </c>
      <c r="Q14" s="77">
        <f>'Table 4 Formula'!AV14</f>
        <v>0</v>
      </c>
      <c r="R14" s="61">
        <f t="shared" si="2"/>
        <v>0</v>
      </c>
      <c r="S14" s="77">
        <f>'Table 4 Formula'!BA14</f>
        <v>7835394.3562</v>
      </c>
      <c r="T14" s="77">
        <f>'Table 4 Formula'!BB14</f>
        <v>3099.44</v>
      </c>
    </row>
    <row r="15" spans="1:20" ht="12.75">
      <c r="A15" s="60">
        <v>8</v>
      </c>
      <c r="B15" s="61" t="s">
        <v>10</v>
      </c>
      <c r="C15" s="78">
        <f>'Table 4 Formula'!C15</f>
        <v>18685</v>
      </c>
      <c r="D15" s="78">
        <f>'Table 4 Formula'!U15</f>
        <v>23661</v>
      </c>
      <c r="E15" s="159">
        <f>'Table 4 Formula'!V15</f>
        <v>3103</v>
      </c>
      <c r="F15" s="77">
        <f>'Table 4 Formula'!W15</f>
        <v>73420083</v>
      </c>
      <c r="G15" s="77">
        <f>'Table 4 Formula'!AA15</f>
        <v>22665781.42737527</v>
      </c>
      <c r="H15" s="77">
        <f>'Table 4 Formula'!AC15</f>
        <v>50754301.57262473</v>
      </c>
      <c r="I15" s="77">
        <f>'Table 4 Formula'!AF15</f>
        <v>12804794.572624732</v>
      </c>
      <c r="J15" s="79">
        <f>'Table 4 Formula'!AG15</f>
        <v>0</v>
      </c>
      <c r="K15" s="77">
        <f>'Table 4 Formula'!AI15</f>
        <v>12804794.572624732</v>
      </c>
      <c r="L15" s="61">
        <f t="shared" si="0"/>
        <v>1</v>
      </c>
      <c r="M15" s="77">
        <f>'Table 4 Formula'!AJ15</f>
        <v>6028196.653824748</v>
      </c>
      <c r="N15" s="77">
        <f>'Table 4 Formula'!AN15</f>
        <v>56782498.226449475</v>
      </c>
      <c r="O15" s="79">
        <f>'Table 4 Formula'!AU15</f>
        <v>1487371.553</v>
      </c>
      <c r="P15" s="61">
        <f t="shared" si="1"/>
        <v>1</v>
      </c>
      <c r="Q15" s="77">
        <f>'Table 4 Formula'!AV15</f>
        <v>0</v>
      </c>
      <c r="R15" s="61">
        <f t="shared" si="2"/>
        <v>0</v>
      </c>
      <c r="S15" s="77">
        <f>'Table 4 Formula'!BA15</f>
        <v>56782498.2328</v>
      </c>
      <c r="T15" s="77">
        <f>'Table 4 Formula'!BB15</f>
        <v>3038.93</v>
      </c>
    </row>
    <row r="16" spans="1:20" ht="12.75">
      <c r="A16" s="60">
        <v>9</v>
      </c>
      <c r="B16" s="61" t="s">
        <v>11</v>
      </c>
      <c r="C16" s="78">
        <f>'Table 4 Formula'!C16</f>
        <v>44259</v>
      </c>
      <c r="D16" s="78">
        <f>'Table 4 Formula'!U16</f>
        <v>59043</v>
      </c>
      <c r="E16" s="159">
        <f>'Table 4 Formula'!V16</f>
        <v>3103</v>
      </c>
      <c r="F16" s="77">
        <f>'Table 4 Formula'!W16</f>
        <v>183210429</v>
      </c>
      <c r="G16" s="77">
        <f>'Table 4 Formula'!AA16</f>
        <v>59029551.0486979</v>
      </c>
      <c r="H16" s="77">
        <f>'Table 4 Formula'!AC16</f>
        <v>124180877.95130211</v>
      </c>
      <c r="I16" s="77">
        <f>'Table 4 Formula'!AF16</f>
        <v>57575438.9513021</v>
      </c>
      <c r="J16" s="79">
        <f>'Table 4 Formula'!AG16</f>
        <v>0</v>
      </c>
      <c r="K16" s="77">
        <f>'Table 4 Formula'!AI16</f>
        <v>57575438.9513021</v>
      </c>
      <c r="L16" s="61">
        <f t="shared" si="0"/>
        <v>1</v>
      </c>
      <c r="M16" s="77">
        <f>'Table 4 Formula'!AJ16</f>
        <v>25774515.211432945</v>
      </c>
      <c r="N16" s="77">
        <f>'Table 4 Formula'!AN16</f>
        <v>149955393.16273504</v>
      </c>
      <c r="O16" s="79">
        <f>'Table 4 Formula'!AU16</f>
        <v>220757.9903</v>
      </c>
      <c r="P16" s="61">
        <f t="shared" si="1"/>
        <v>1</v>
      </c>
      <c r="Q16" s="77">
        <f>'Table 4 Formula'!AV16</f>
        <v>0</v>
      </c>
      <c r="R16" s="61">
        <f t="shared" si="2"/>
        <v>0</v>
      </c>
      <c r="S16" s="77">
        <f>'Table 4 Formula'!BA16</f>
        <v>149955393.0525</v>
      </c>
      <c r="T16" s="77">
        <f>'Table 4 Formula'!BB16</f>
        <v>3388.13</v>
      </c>
    </row>
    <row r="17" spans="1:20" ht="12.75">
      <c r="A17" s="83">
        <v>10</v>
      </c>
      <c r="B17" s="84" t="s">
        <v>12</v>
      </c>
      <c r="C17" s="96">
        <f>'Table 4 Formula'!C17</f>
        <v>32099</v>
      </c>
      <c r="D17" s="96">
        <f>'Table 4 Formula'!U17</f>
        <v>42391</v>
      </c>
      <c r="E17" s="160">
        <f>'Table 4 Formula'!V17</f>
        <v>3103</v>
      </c>
      <c r="F17" s="95">
        <f>'Table 4 Formula'!W17</f>
        <v>131539273</v>
      </c>
      <c r="G17" s="95">
        <f>'Table 4 Formula'!AA17</f>
        <v>55007973.64931611</v>
      </c>
      <c r="H17" s="95">
        <f>'Table 4 Formula'!AC17</f>
        <v>76531299.3506839</v>
      </c>
      <c r="I17" s="95">
        <f>'Table 4 Formula'!AF17</f>
        <v>31001828.85068389</v>
      </c>
      <c r="J17" s="97">
        <f>'Table 4 Formula'!AG17</f>
        <v>0</v>
      </c>
      <c r="K17" s="95">
        <f>'Table 4 Formula'!AI17</f>
        <v>31001828.85068389</v>
      </c>
      <c r="L17" s="84">
        <f t="shared" si="0"/>
        <v>1</v>
      </c>
      <c r="M17" s="95">
        <f>'Table 4 Formula'!AJ17</f>
        <v>8776878.038983641</v>
      </c>
      <c r="N17" s="95">
        <f>'Table 4 Formula'!AN17</f>
        <v>85308177.38966754</v>
      </c>
      <c r="O17" s="97">
        <f>'Table 4 Formula'!AU17</f>
        <v>5108724.5788</v>
      </c>
      <c r="P17" s="84">
        <f t="shared" si="1"/>
        <v>1</v>
      </c>
      <c r="Q17" s="95">
        <f>'Table 4 Formula'!AV17</f>
        <v>0</v>
      </c>
      <c r="R17" s="84">
        <f t="shared" si="2"/>
        <v>0</v>
      </c>
      <c r="S17" s="95">
        <f>'Table 4 Formula'!BA17</f>
        <v>85308177.3026</v>
      </c>
      <c r="T17" s="95">
        <f>'Table 4 Formula'!BB17</f>
        <v>2657.66</v>
      </c>
    </row>
    <row r="18" spans="1:20" ht="12.75">
      <c r="A18" s="60">
        <v>11</v>
      </c>
      <c r="B18" s="61" t="s">
        <v>13</v>
      </c>
      <c r="C18" s="78">
        <f>'Table 4 Formula'!C18</f>
        <v>1808</v>
      </c>
      <c r="D18" s="78">
        <f>'Table 4 Formula'!U18</f>
        <v>2623</v>
      </c>
      <c r="E18" s="159">
        <f>'Table 4 Formula'!V18</f>
        <v>3103</v>
      </c>
      <c r="F18" s="77">
        <f>'Table 4 Formula'!W18</f>
        <v>8139169</v>
      </c>
      <c r="G18" s="77">
        <f>'Table 4 Formula'!AA18</f>
        <v>1422534.6125829895</v>
      </c>
      <c r="H18" s="77">
        <f>'Table 4 Formula'!AC18</f>
        <v>6716634.387417011</v>
      </c>
      <c r="I18" s="77">
        <f>'Table 4 Formula'!AF18</f>
        <v>900304.3874170105</v>
      </c>
      <c r="J18" s="79">
        <f>'Table 4 Formula'!AG18</f>
        <v>0</v>
      </c>
      <c r="K18" s="77">
        <f>'Table 4 Formula'!AI18</f>
        <v>900304.3874170105</v>
      </c>
      <c r="L18" s="61">
        <f t="shared" si="0"/>
        <v>1</v>
      </c>
      <c r="M18" s="77">
        <f>'Table 4 Formula'!AJ18</f>
        <v>630557.2539579993</v>
      </c>
      <c r="N18" s="77">
        <f>'Table 4 Formula'!AN18</f>
        <v>7347191.64137501</v>
      </c>
      <c r="O18" s="79">
        <f>'Table 4 Formula'!AU18</f>
        <v>-16412.0394</v>
      </c>
      <c r="P18" s="61">
        <f t="shared" si="1"/>
        <v>0</v>
      </c>
      <c r="Q18" s="77">
        <f>'Table 4 Formula'!AV18</f>
        <v>0</v>
      </c>
      <c r="R18" s="61">
        <f t="shared" si="2"/>
        <v>0</v>
      </c>
      <c r="S18" s="77">
        <f>'Table 4 Formula'!BA18</f>
        <v>7347191.6395</v>
      </c>
      <c r="T18" s="77">
        <f>'Table 4 Formula'!BB18</f>
        <v>4063.71</v>
      </c>
    </row>
    <row r="19" spans="1:20" ht="12.75">
      <c r="A19" s="60">
        <v>12</v>
      </c>
      <c r="B19" s="61" t="s">
        <v>14</v>
      </c>
      <c r="C19" s="78">
        <f>'Table 4 Formula'!C19</f>
        <v>1959</v>
      </c>
      <c r="D19" s="78">
        <f>'Table 4 Formula'!U19</f>
        <v>2887</v>
      </c>
      <c r="E19" s="159">
        <f>'Table 4 Formula'!V19</f>
        <v>3103</v>
      </c>
      <c r="F19" s="77">
        <f>'Table 4 Formula'!W19</f>
        <v>8958361</v>
      </c>
      <c r="G19" s="77">
        <f>'Table 4 Formula'!AA19</f>
        <v>3713385.91374374</v>
      </c>
      <c r="H19" s="77">
        <f>'Table 4 Formula'!AC19</f>
        <v>5244975.08625626</v>
      </c>
      <c r="I19" s="77">
        <f>'Table 4 Formula'!AF19</f>
        <v>2486245.58625626</v>
      </c>
      <c r="J19" s="79">
        <f>'Table 4 Formula'!AG19</f>
        <v>0</v>
      </c>
      <c r="K19" s="77">
        <f>'Table 4 Formula'!AI19</f>
        <v>2486245.58625626</v>
      </c>
      <c r="L19" s="61">
        <f t="shared" si="0"/>
        <v>1</v>
      </c>
      <c r="M19" s="77">
        <f>'Table 4 Formula'!AJ19</f>
        <v>719516.6731500317</v>
      </c>
      <c r="N19" s="77">
        <f>'Table 4 Formula'!AN19</f>
        <v>5964491.759406292</v>
      </c>
      <c r="O19" s="79">
        <f>'Table 4 Formula'!AU19</f>
        <v>450217.9182</v>
      </c>
      <c r="P19" s="61">
        <f t="shared" si="1"/>
        <v>1</v>
      </c>
      <c r="Q19" s="77">
        <f>'Table 4 Formula'!AV19</f>
        <v>0</v>
      </c>
      <c r="R19" s="61">
        <f t="shared" si="2"/>
        <v>0</v>
      </c>
      <c r="S19" s="77">
        <f>'Table 4 Formula'!BA19</f>
        <v>5964491.761</v>
      </c>
      <c r="T19" s="77">
        <f>'Table 4 Formula'!BB19</f>
        <v>3044.66</v>
      </c>
    </row>
    <row r="20" spans="1:20" ht="12.75">
      <c r="A20" s="60">
        <v>13</v>
      </c>
      <c r="B20" s="61" t="s">
        <v>15</v>
      </c>
      <c r="C20" s="78">
        <f>'Table 4 Formula'!C20</f>
        <v>1887</v>
      </c>
      <c r="D20" s="78">
        <f>'Table 4 Formula'!U20</f>
        <v>2702</v>
      </c>
      <c r="E20" s="159">
        <f>'Table 4 Formula'!V20</f>
        <v>3103</v>
      </c>
      <c r="F20" s="77">
        <f>'Table 4 Formula'!W20</f>
        <v>8384306</v>
      </c>
      <c r="G20" s="77">
        <f>'Table 4 Formula'!AA20</f>
        <v>1592950.0131804103</v>
      </c>
      <c r="H20" s="77">
        <f>'Table 4 Formula'!AC20</f>
        <v>6791355.9868195895</v>
      </c>
      <c r="I20" s="77">
        <f>'Table 4 Formula'!AF20</f>
        <v>1058360.9868195897</v>
      </c>
      <c r="J20" s="79">
        <f>'Table 4 Formula'!AG20</f>
        <v>0</v>
      </c>
      <c r="K20" s="77">
        <f>'Table 4 Formula'!AI20</f>
        <v>1058360.9868195897</v>
      </c>
      <c r="L20" s="61">
        <f t="shared" si="0"/>
        <v>1</v>
      </c>
      <c r="M20" s="77">
        <f>'Table 4 Formula'!AJ20</f>
        <v>713652.1995630771</v>
      </c>
      <c r="N20" s="77">
        <f>'Table 4 Formula'!AN20</f>
        <v>7505008.186382666</v>
      </c>
      <c r="O20" s="79">
        <f>'Table 4 Formula'!AU20</f>
        <v>2999.7797</v>
      </c>
      <c r="P20" s="61">
        <f t="shared" si="1"/>
        <v>1</v>
      </c>
      <c r="Q20" s="77">
        <f>'Table 4 Formula'!AV20</f>
        <v>0</v>
      </c>
      <c r="R20" s="61">
        <f t="shared" si="2"/>
        <v>0</v>
      </c>
      <c r="S20" s="77">
        <f>'Table 4 Formula'!BA20</f>
        <v>7505008.1771</v>
      </c>
      <c r="T20" s="77">
        <f>'Table 4 Formula'!BB20</f>
        <v>3977.22</v>
      </c>
    </row>
    <row r="21" spans="1:20" ht="12.75">
      <c r="A21" s="60">
        <v>14</v>
      </c>
      <c r="B21" s="61" t="s">
        <v>16</v>
      </c>
      <c r="C21" s="78">
        <f>'Table 4 Formula'!C21</f>
        <v>2764</v>
      </c>
      <c r="D21" s="78">
        <f>'Table 4 Formula'!U21</f>
        <v>4248</v>
      </c>
      <c r="E21" s="159">
        <f>'Table 4 Formula'!V21</f>
        <v>3103</v>
      </c>
      <c r="F21" s="77">
        <f>'Table 4 Formula'!W21</f>
        <v>13181544</v>
      </c>
      <c r="G21" s="77">
        <f>'Table 4 Formula'!AA21</f>
        <v>3106940.8196642934</v>
      </c>
      <c r="H21" s="77">
        <f>'Table 4 Formula'!AC21</f>
        <v>10074603.180335706</v>
      </c>
      <c r="I21" s="77">
        <f>'Table 4 Formula'!AF21</f>
        <v>1320324.6803357066</v>
      </c>
      <c r="J21" s="79">
        <f>'Table 4 Formula'!AG21</f>
        <v>0</v>
      </c>
      <c r="K21" s="77">
        <f>'Table 4 Formula'!AI21</f>
        <v>1320324.6803357066</v>
      </c>
      <c r="L21" s="61">
        <f t="shared" si="0"/>
        <v>1</v>
      </c>
      <c r="M21" s="77">
        <f>'Table 4 Formula'!AJ21</f>
        <v>786829.1354517089</v>
      </c>
      <c r="N21" s="77">
        <f>'Table 4 Formula'!AN21</f>
        <v>10861432.315787416</v>
      </c>
      <c r="O21" s="79">
        <f>'Table 4 Formula'!AU21</f>
        <v>401611.2744</v>
      </c>
      <c r="P21" s="61">
        <f t="shared" si="1"/>
        <v>1</v>
      </c>
      <c r="Q21" s="77">
        <f>'Table 4 Formula'!AV21</f>
        <v>0</v>
      </c>
      <c r="R21" s="61">
        <f t="shared" si="2"/>
        <v>0</v>
      </c>
      <c r="S21" s="77">
        <f>'Table 4 Formula'!BA21</f>
        <v>10861432.3107</v>
      </c>
      <c r="T21" s="77">
        <f>'Table 4 Formula'!BB21</f>
        <v>3929.61</v>
      </c>
    </row>
    <row r="22" spans="1:20" ht="12.75">
      <c r="A22" s="83">
        <v>15</v>
      </c>
      <c r="B22" s="84" t="s">
        <v>17</v>
      </c>
      <c r="C22" s="96">
        <f>'Table 4 Formula'!C22</f>
        <v>3812</v>
      </c>
      <c r="D22" s="96">
        <f>'Table 4 Formula'!U22</f>
        <v>5304</v>
      </c>
      <c r="E22" s="160">
        <f>'Table 4 Formula'!V22</f>
        <v>3103</v>
      </c>
      <c r="F22" s="95">
        <f>'Table 4 Formula'!W22</f>
        <v>16458312</v>
      </c>
      <c r="G22" s="95">
        <f>'Table 4 Formula'!AA22</f>
        <v>3729945.4880853617</v>
      </c>
      <c r="H22" s="95">
        <f>'Table 4 Formula'!AC22</f>
        <v>12728366.511914639</v>
      </c>
      <c r="I22" s="95">
        <f>'Table 4 Formula'!AF22</f>
        <v>777859.5119146383</v>
      </c>
      <c r="J22" s="97">
        <f>'Table 4 Formula'!AG22</f>
        <v>0</v>
      </c>
      <c r="K22" s="95">
        <f>'Table 4 Formula'!AI22</f>
        <v>777859.5119146383</v>
      </c>
      <c r="L22" s="84">
        <f t="shared" si="0"/>
        <v>1</v>
      </c>
      <c r="M22" s="95">
        <f>'Table 4 Formula'!AJ22</f>
        <v>475654.8608811109</v>
      </c>
      <c r="N22" s="95">
        <f>'Table 4 Formula'!AN22</f>
        <v>13204021.37279575</v>
      </c>
      <c r="O22" s="97">
        <f>'Table 4 Formula'!AU22</f>
        <v>-426514.8276</v>
      </c>
      <c r="P22" s="84">
        <f t="shared" si="1"/>
        <v>0</v>
      </c>
      <c r="Q22" s="95">
        <f>'Table 4 Formula'!AV22</f>
        <v>233545.45830000006</v>
      </c>
      <c r="R22" s="84">
        <f t="shared" si="2"/>
        <v>1</v>
      </c>
      <c r="S22" s="95">
        <f>'Table 4 Formula'!BA22</f>
        <v>13437566.84</v>
      </c>
      <c r="T22" s="95">
        <f>'Table 4 Formula'!BB22</f>
        <v>3525.07</v>
      </c>
    </row>
    <row r="23" spans="1:20" ht="12.75">
      <c r="A23" s="60">
        <v>16</v>
      </c>
      <c r="B23" s="61" t="s">
        <v>18</v>
      </c>
      <c r="C23" s="78">
        <f>'Table 4 Formula'!C23</f>
        <v>4992</v>
      </c>
      <c r="D23" s="78">
        <f>'Table 4 Formula'!U23</f>
        <v>7102</v>
      </c>
      <c r="E23" s="159">
        <f>'Table 4 Formula'!V23</f>
        <v>3103</v>
      </c>
      <c r="F23" s="77">
        <f>'Table 4 Formula'!W23</f>
        <v>22037506</v>
      </c>
      <c r="G23" s="77">
        <f>'Table 4 Formula'!AA23</f>
        <v>7583112.123042441</v>
      </c>
      <c r="H23" s="77">
        <f>'Table 4 Formula'!AC23</f>
        <v>14454393.876957558</v>
      </c>
      <c r="I23" s="77">
        <f>'Table 4 Formula'!AF23</f>
        <v>7630254.876957559</v>
      </c>
      <c r="J23" s="79">
        <f>'Table 4 Formula'!AG23</f>
        <v>0</v>
      </c>
      <c r="K23" s="77">
        <f>'Table 4 Formula'!AI23</f>
        <v>7272377</v>
      </c>
      <c r="L23" s="61">
        <f t="shared" si="0"/>
        <v>1</v>
      </c>
      <c r="M23" s="77">
        <f>'Table 4 Formula'!AJ23</f>
        <v>2982499.359365078</v>
      </c>
      <c r="N23" s="77">
        <f>'Table 4 Formula'!AN23</f>
        <v>17436893.236322638</v>
      </c>
      <c r="O23" s="79">
        <f>'Table 4 Formula'!AU23</f>
        <v>1227449.2201</v>
      </c>
      <c r="P23" s="61">
        <f t="shared" si="1"/>
        <v>1</v>
      </c>
      <c r="Q23" s="77">
        <f>'Table 4 Formula'!AV23</f>
        <v>0</v>
      </c>
      <c r="R23" s="61">
        <f t="shared" si="2"/>
        <v>0</v>
      </c>
      <c r="S23" s="77">
        <f>'Table 4 Formula'!BA23</f>
        <v>17436893.2608</v>
      </c>
      <c r="T23" s="77">
        <f>'Table 4 Formula'!BB23</f>
        <v>3492.97</v>
      </c>
    </row>
    <row r="24" spans="1:20" ht="12.75">
      <c r="A24" s="60">
        <v>17</v>
      </c>
      <c r="B24" s="61" t="s">
        <v>19</v>
      </c>
      <c r="C24" s="78">
        <f>'Table 4 Formula'!C24</f>
        <v>53188</v>
      </c>
      <c r="D24" s="78">
        <f>'Table 4 Formula'!U24</f>
        <v>69323</v>
      </c>
      <c r="E24" s="159">
        <f>'Table 4 Formula'!V24</f>
        <v>3103</v>
      </c>
      <c r="F24" s="77">
        <f>'Table 4 Formula'!W24</f>
        <v>215109269</v>
      </c>
      <c r="G24" s="77">
        <f>'Table 4 Formula'!AA24</f>
        <v>115016906.7609268</v>
      </c>
      <c r="H24" s="77">
        <f>'Table 4 Formula'!AC24</f>
        <v>100092362.2390732</v>
      </c>
      <c r="I24" s="77">
        <f>'Table 4 Formula'!AF24</f>
        <v>79395435.7390732</v>
      </c>
      <c r="J24" s="79">
        <f>'Table 4 Formula'!AG24</f>
        <v>0</v>
      </c>
      <c r="K24" s="77">
        <f>'Table 4 Formula'!AI24</f>
        <v>70986059</v>
      </c>
      <c r="L24" s="61">
        <f t="shared" si="0"/>
        <v>1</v>
      </c>
      <c r="M24" s="77">
        <f>'Table 4 Formula'!AJ24</f>
        <v>5919356.383607807</v>
      </c>
      <c r="N24" s="77">
        <f>'Table 4 Formula'!AN24</f>
        <v>106011718.622681</v>
      </c>
      <c r="O24" s="79">
        <f>'Table 4 Formula'!AU24</f>
        <v>-3417941.45</v>
      </c>
      <c r="P24" s="61">
        <f t="shared" si="1"/>
        <v>0</v>
      </c>
      <c r="Q24" s="77">
        <f>'Table 4 Formula'!AV24</f>
        <v>30572406.020699993</v>
      </c>
      <c r="R24" s="61">
        <f t="shared" si="2"/>
        <v>1</v>
      </c>
      <c r="S24" s="77">
        <f>'Table 4 Formula'!BA24</f>
        <v>136584124.6</v>
      </c>
      <c r="T24" s="77">
        <f>'Table 4 Formula'!BB24</f>
        <v>2567.95</v>
      </c>
    </row>
    <row r="25" spans="1:20" ht="12.75">
      <c r="A25" s="60">
        <v>18</v>
      </c>
      <c r="B25" s="61" t="s">
        <v>20</v>
      </c>
      <c r="C25" s="78">
        <f>'Table 4 Formula'!C25</f>
        <v>1807</v>
      </c>
      <c r="D25" s="78">
        <f>'Table 4 Formula'!U25</f>
        <v>2677</v>
      </c>
      <c r="E25" s="159">
        <f>'Table 4 Formula'!V25</f>
        <v>3103</v>
      </c>
      <c r="F25" s="77">
        <f>'Table 4 Formula'!W25</f>
        <v>8306731</v>
      </c>
      <c r="G25" s="77">
        <f>'Table 4 Formula'!AA25</f>
        <v>1323848.9329102868</v>
      </c>
      <c r="H25" s="77">
        <f>'Table 4 Formula'!AC25</f>
        <v>6982882.067089713</v>
      </c>
      <c r="I25" s="77">
        <f>'Table 4 Formula'!AF25</f>
        <v>523147.5670897132</v>
      </c>
      <c r="J25" s="79">
        <f>'Table 4 Formula'!AG25</f>
        <v>0</v>
      </c>
      <c r="K25" s="77">
        <f>'Table 4 Formula'!AI25</f>
        <v>523147.5670897132</v>
      </c>
      <c r="L25" s="61">
        <f t="shared" si="0"/>
        <v>1</v>
      </c>
      <c r="M25" s="77">
        <f>'Table 4 Formula'!AJ25</f>
        <v>380219.39333960746</v>
      </c>
      <c r="N25" s="77">
        <f>'Table 4 Formula'!AN25</f>
        <v>7363101.460429321</v>
      </c>
      <c r="O25" s="79">
        <f>'Table 4 Formula'!AU25</f>
        <v>181105.4379</v>
      </c>
      <c r="P25" s="61">
        <f t="shared" si="1"/>
        <v>1</v>
      </c>
      <c r="Q25" s="77">
        <f>'Table 4 Formula'!AV25</f>
        <v>0</v>
      </c>
      <c r="R25" s="61">
        <f t="shared" si="2"/>
        <v>0</v>
      </c>
      <c r="S25" s="77">
        <f>'Table 4 Formula'!BA25</f>
        <v>7363101.4573</v>
      </c>
      <c r="T25" s="77">
        <f>'Table 4 Formula'!BB25</f>
        <v>4074.77</v>
      </c>
    </row>
    <row r="26" spans="1:20" ht="12.75">
      <c r="A26" s="60">
        <v>19</v>
      </c>
      <c r="B26" s="61" t="s">
        <v>21</v>
      </c>
      <c r="C26" s="78">
        <f>'Table 4 Formula'!C26</f>
        <v>2528</v>
      </c>
      <c r="D26" s="78">
        <f>'Table 4 Formula'!U26</f>
        <v>3744</v>
      </c>
      <c r="E26" s="159">
        <f>'Table 4 Formula'!V26</f>
        <v>3103</v>
      </c>
      <c r="F26" s="77">
        <f>'Table 4 Formula'!W26</f>
        <v>11617632</v>
      </c>
      <c r="G26" s="77">
        <f>'Table 4 Formula'!AA26</f>
        <v>2498597.718995787</v>
      </c>
      <c r="H26" s="77">
        <f>'Table 4 Formula'!AC26</f>
        <v>9119034.281004213</v>
      </c>
      <c r="I26" s="77">
        <f>'Table 4 Formula'!AF26</f>
        <v>1522653.2810042128</v>
      </c>
      <c r="J26" s="79">
        <f>'Table 4 Formula'!AG26</f>
        <v>0</v>
      </c>
      <c r="K26" s="77">
        <f>'Table 4 Formula'!AI26</f>
        <v>1522653.2810042128</v>
      </c>
      <c r="L26" s="61">
        <f t="shared" si="0"/>
        <v>1</v>
      </c>
      <c r="M26" s="77">
        <f>'Table 4 Formula'!AJ26</f>
        <v>961264.2907892634</v>
      </c>
      <c r="N26" s="77">
        <f>'Table 4 Formula'!AN26</f>
        <v>10080298.571793476</v>
      </c>
      <c r="O26" s="79">
        <f>'Table 4 Formula'!AU26</f>
        <v>-222705.0924</v>
      </c>
      <c r="P26" s="61">
        <f t="shared" si="1"/>
        <v>0</v>
      </c>
      <c r="Q26" s="77">
        <f>'Table 4 Formula'!AV26</f>
        <v>0</v>
      </c>
      <c r="R26" s="61">
        <f t="shared" si="2"/>
        <v>0</v>
      </c>
      <c r="S26" s="77">
        <f>'Table 4 Formula'!BA26</f>
        <v>10080298.5766</v>
      </c>
      <c r="T26" s="77">
        <f>'Table 4 Formula'!BB26</f>
        <v>3987.46</v>
      </c>
    </row>
    <row r="27" spans="1:20" ht="12.75">
      <c r="A27" s="83">
        <v>20</v>
      </c>
      <c r="B27" s="84" t="s">
        <v>22</v>
      </c>
      <c r="C27" s="96">
        <f>'Table 4 Formula'!C27</f>
        <v>6264</v>
      </c>
      <c r="D27" s="96">
        <f>'Table 4 Formula'!U27</f>
        <v>8877</v>
      </c>
      <c r="E27" s="160">
        <f>'Table 4 Formula'!V27</f>
        <v>3103</v>
      </c>
      <c r="F27" s="95">
        <f>'Table 4 Formula'!W27</f>
        <v>27545331</v>
      </c>
      <c r="G27" s="95">
        <f>'Table 4 Formula'!AA27</f>
        <v>6406710.578410287</v>
      </c>
      <c r="H27" s="95">
        <f>'Table 4 Formula'!AC27</f>
        <v>21138620.421589714</v>
      </c>
      <c r="I27" s="95">
        <f>'Table 4 Formula'!AF27</f>
        <v>251458.4215897126</v>
      </c>
      <c r="J27" s="97">
        <f>'Table 4 Formula'!AG27</f>
        <v>0</v>
      </c>
      <c r="K27" s="95">
        <f>'Table 4 Formula'!AI27</f>
        <v>251458.4215897126</v>
      </c>
      <c r="L27" s="84">
        <f t="shared" si="0"/>
        <v>1</v>
      </c>
      <c r="M27" s="95">
        <f>'Table 4 Formula'!AJ27</f>
        <v>151196.36350743382</v>
      </c>
      <c r="N27" s="95">
        <f>'Table 4 Formula'!AN27</f>
        <v>21289816.78509715</v>
      </c>
      <c r="O27" s="97">
        <f>'Table 4 Formula'!AU27</f>
        <v>-260771.6238</v>
      </c>
      <c r="P27" s="84">
        <f t="shared" si="1"/>
        <v>0</v>
      </c>
      <c r="Q27" s="95">
        <f>'Table 4 Formula'!AV27</f>
        <v>204786.0078999959</v>
      </c>
      <c r="R27" s="84">
        <f t="shared" si="2"/>
        <v>1</v>
      </c>
      <c r="S27" s="95">
        <f>'Table 4 Formula'!BA27</f>
        <v>21494602.799999997</v>
      </c>
      <c r="T27" s="95">
        <f>'Table 4 Formula'!BB27</f>
        <v>3431.45</v>
      </c>
    </row>
    <row r="28" spans="1:20" ht="12.75">
      <c r="A28" s="60">
        <v>21</v>
      </c>
      <c r="B28" s="61" t="s">
        <v>23</v>
      </c>
      <c r="C28" s="78">
        <f>'Table 4 Formula'!C28</f>
        <v>3828</v>
      </c>
      <c r="D28" s="78">
        <f>'Table 4 Formula'!U28</f>
        <v>5424</v>
      </c>
      <c r="E28" s="159">
        <f>'Table 4 Formula'!V28</f>
        <v>3103</v>
      </c>
      <c r="F28" s="77">
        <f>'Table 4 Formula'!W28</f>
        <v>16830672</v>
      </c>
      <c r="G28" s="77">
        <f>'Table 4 Formula'!AA28</f>
        <v>3072638.0826024795</v>
      </c>
      <c r="H28" s="77">
        <f>'Table 4 Formula'!AC28</f>
        <v>13758033.917397521</v>
      </c>
      <c r="I28" s="77">
        <f>'Table 4 Formula'!AF28</f>
        <v>124536.9173975205</v>
      </c>
      <c r="J28" s="79">
        <f>'Table 4 Formula'!AG28</f>
        <v>0</v>
      </c>
      <c r="K28" s="77">
        <f>'Table 4 Formula'!AI28</f>
        <v>124536.9173975205</v>
      </c>
      <c r="L28" s="61">
        <f t="shared" si="0"/>
        <v>1</v>
      </c>
      <c r="M28" s="77">
        <f>'Table 4 Formula'!AJ28</f>
        <v>85561.44022918012</v>
      </c>
      <c r="N28" s="77">
        <f>'Table 4 Formula'!AN28</f>
        <v>13843595.3576267</v>
      </c>
      <c r="O28" s="79">
        <f>'Table 4 Formula'!AU28</f>
        <v>-253102.5314</v>
      </c>
      <c r="P28" s="61">
        <f t="shared" si="1"/>
        <v>0</v>
      </c>
      <c r="Q28" s="77">
        <f>'Table 4 Formula'!AV28</f>
        <v>0</v>
      </c>
      <c r="R28" s="61">
        <f t="shared" si="2"/>
        <v>0</v>
      </c>
      <c r="S28" s="77">
        <f>'Table 4 Formula'!BA28</f>
        <v>13843595.3542</v>
      </c>
      <c r="T28" s="77">
        <f>'Table 4 Formula'!BB28</f>
        <v>3616.4</v>
      </c>
    </row>
    <row r="29" spans="1:20" ht="12.75">
      <c r="A29" s="60">
        <v>22</v>
      </c>
      <c r="B29" s="61" t="s">
        <v>24</v>
      </c>
      <c r="C29" s="78">
        <f>'Table 4 Formula'!C29</f>
        <v>3589</v>
      </c>
      <c r="D29" s="78">
        <f>'Table 4 Formula'!U29</f>
        <v>5137</v>
      </c>
      <c r="E29" s="159">
        <f>'Table 4 Formula'!V29</f>
        <v>3103</v>
      </c>
      <c r="F29" s="77">
        <f>'Table 4 Formula'!W29</f>
        <v>15940111</v>
      </c>
      <c r="G29" s="77">
        <f>'Table 4 Formula'!AA29</f>
        <v>1914736.7707344692</v>
      </c>
      <c r="H29" s="77">
        <f>'Table 4 Formula'!AC29</f>
        <v>14025374.229265532</v>
      </c>
      <c r="I29" s="77">
        <f>'Table 4 Formula'!AF29</f>
        <v>825927.2292655308</v>
      </c>
      <c r="J29" s="79">
        <f>'Table 4 Formula'!AG29</f>
        <v>0</v>
      </c>
      <c r="K29" s="77">
        <f>'Table 4 Formula'!AI29</f>
        <v>825927.2292655308</v>
      </c>
      <c r="L29" s="61">
        <f t="shared" si="0"/>
        <v>1</v>
      </c>
      <c r="M29" s="77">
        <f>'Table 4 Formula'!AJ29</f>
        <v>655851.531058413</v>
      </c>
      <c r="N29" s="77">
        <f>'Table 4 Formula'!AN29</f>
        <v>14681225.760323945</v>
      </c>
      <c r="O29" s="79">
        <f>'Table 4 Formula'!AU29</f>
        <v>425045.0077</v>
      </c>
      <c r="P29" s="61">
        <f t="shared" si="1"/>
        <v>1</v>
      </c>
      <c r="Q29" s="77">
        <f>'Table 4 Formula'!AV29</f>
        <v>0</v>
      </c>
      <c r="R29" s="61">
        <f t="shared" si="2"/>
        <v>0</v>
      </c>
      <c r="S29" s="77">
        <f>'Table 4 Formula'!BA29</f>
        <v>14681225.7768</v>
      </c>
      <c r="T29" s="77">
        <f>'Table 4 Formula'!BB29</f>
        <v>4090.62</v>
      </c>
    </row>
    <row r="30" spans="1:20" ht="12.75">
      <c r="A30" s="60">
        <v>23</v>
      </c>
      <c r="B30" s="61" t="s">
        <v>25</v>
      </c>
      <c r="C30" s="78">
        <f>'Table 4 Formula'!C30</f>
        <v>14499</v>
      </c>
      <c r="D30" s="78">
        <f>'Table 4 Formula'!U30</f>
        <v>20137</v>
      </c>
      <c r="E30" s="159">
        <f>'Table 4 Formula'!V30</f>
        <v>3103</v>
      </c>
      <c r="F30" s="77">
        <f>'Table 4 Formula'!W30</f>
        <v>62485111</v>
      </c>
      <c r="G30" s="77">
        <f>'Table 4 Formula'!AA30</f>
        <v>15797140.829613153</v>
      </c>
      <c r="H30" s="77">
        <f>'Table 4 Formula'!AC30</f>
        <v>46687970.17038685</v>
      </c>
      <c r="I30" s="77">
        <f>'Table 4 Formula'!AF30</f>
        <v>10024478.170386847</v>
      </c>
      <c r="J30" s="79">
        <f>'Table 4 Formula'!AG30</f>
        <v>0</v>
      </c>
      <c r="K30" s="77">
        <f>'Table 4 Formula'!AI30</f>
        <v>10024478.170386847</v>
      </c>
      <c r="L30" s="61">
        <f t="shared" si="0"/>
        <v>1</v>
      </c>
      <c r="M30" s="77">
        <f>'Table 4 Formula'!AJ30</f>
        <v>5679906.6424489375</v>
      </c>
      <c r="N30" s="77">
        <f>'Table 4 Formula'!AN30</f>
        <v>52367876.81283579</v>
      </c>
      <c r="O30" s="79">
        <f>'Table 4 Formula'!AU30</f>
        <v>1164197.3185</v>
      </c>
      <c r="P30" s="61">
        <f t="shared" si="1"/>
        <v>1</v>
      </c>
      <c r="Q30" s="77">
        <f>'Table 4 Formula'!AV30</f>
        <v>0</v>
      </c>
      <c r="R30" s="61">
        <f t="shared" si="2"/>
        <v>0</v>
      </c>
      <c r="S30" s="77">
        <f>'Table 4 Formula'!BA30</f>
        <v>52367876.7732</v>
      </c>
      <c r="T30" s="77">
        <f>'Table 4 Formula'!BB30</f>
        <v>3611.83</v>
      </c>
    </row>
    <row r="31" spans="1:20" ht="12.75">
      <c r="A31" s="60">
        <v>24</v>
      </c>
      <c r="B31" s="61" t="s">
        <v>26</v>
      </c>
      <c r="C31" s="78">
        <f>'Table 4 Formula'!C31</f>
        <v>4921</v>
      </c>
      <c r="D31" s="78">
        <f>'Table 4 Formula'!U31</f>
        <v>7062</v>
      </c>
      <c r="E31" s="159">
        <f>'Table 4 Formula'!V31</f>
        <v>3103</v>
      </c>
      <c r="F31" s="77">
        <f>'Table 4 Formula'!W31</f>
        <v>21913386</v>
      </c>
      <c r="G31" s="77">
        <f>'Table 4 Formula'!AA31</f>
        <v>12411075.748815164</v>
      </c>
      <c r="H31" s="77">
        <f>'Table 4 Formula'!AC31</f>
        <v>9502310.251184836</v>
      </c>
      <c r="I31" s="77">
        <f>'Table 4 Formula'!AF31</f>
        <v>6086298.751184836</v>
      </c>
      <c r="J31" s="79">
        <f>'Table 4 Formula'!AG31</f>
        <v>0</v>
      </c>
      <c r="K31" s="77">
        <f>'Table 4 Formula'!AI31</f>
        <v>6086298.751184836</v>
      </c>
      <c r="L31" s="61">
        <f t="shared" si="0"/>
        <v>1</v>
      </c>
      <c r="M31" s="77">
        <f>'Table 4 Formula'!AJ31</f>
        <v>176995.59312021922</v>
      </c>
      <c r="N31" s="77">
        <f>'Table 4 Formula'!AN31</f>
        <v>9679305.844305055</v>
      </c>
      <c r="O31" s="79">
        <f>'Table 4 Formula'!AU31</f>
        <v>-380821.65</v>
      </c>
      <c r="P31" s="61">
        <f t="shared" si="1"/>
        <v>0</v>
      </c>
      <c r="Q31" s="77">
        <f>'Table 4 Formula'!AV31</f>
        <v>2898032.0152000003</v>
      </c>
      <c r="R31" s="61">
        <f t="shared" si="2"/>
        <v>1</v>
      </c>
      <c r="S31" s="77">
        <f>'Table 4 Formula'!BA31</f>
        <v>12577337.85</v>
      </c>
      <c r="T31" s="77">
        <f>'Table 4 Formula'!BB31</f>
        <v>2555.85</v>
      </c>
    </row>
    <row r="32" spans="1:20" ht="12.75">
      <c r="A32" s="83">
        <v>25</v>
      </c>
      <c r="B32" s="84" t="s">
        <v>27</v>
      </c>
      <c r="C32" s="96">
        <f>'Table 4 Formula'!C32</f>
        <v>2555</v>
      </c>
      <c r="D32" s="96">
        <f>'Table 4 Formula'!U32</f>
        <v>3665</v>
      </c>
      <c r="E32" s="160">
        <f>'Table 4 Formula'!V32</f>
        <v>3103</v>
      </c>
      <c r="F32" s="95">
        <f>'Table 4 Formula'!W32</f>
        <v>11372495</v>
      </c>
      <c r="G32" s="95">
        <f>'Table 4 Formula'!AA32</f>
        <v>2623109.0838297307</v>
      </c>
      <c r="H32" s="95">
        <f>'Table 4 Formula'!AC32</f>
        <v>8749385.91617027</v>
      </c>
      <c r="I32" s="95">
        <f>'Table 4 Formula'!AF32</f>
        <v>1903822.9161702693</v>
      </c>
      <c r="J32" s="97">
        <f>'Table 4 Formula'!AG32</f>
        <v>0</v>
      </c>
      <c r="K32" s="95">
        <f>'Table 4 Formula'!AI32</f>
        <v>1903822.9161702693</v>
      </c>
      <c r="L32" s="84">
        <f t="shared" si="0"/>
        <v>1</v>
      </c>
      <c r="M32" s="95">
        <f>'Table 4 Formula'!AJ32</f>
        <v>1151038.6213871106</v>
      </c>
      <c r="N32" s="95">
        <f>'Table 4 Formula'!AN32</f>
        <v>9900424.53755738</v>
      </c>
      <c r="O32" s="97">
        <f>'Table 4 Formula'!AU32</f>
        <v>-196429.6314</v>
      </c>
      <c r="P32" s="84">
        <f t="shared" si="1"/>
        <v>0</v>
      </c>
      <c r="Q32" s="95">
        <f>'Table 4 Formula'!AV32</f>
        <v>0</v>
      </c>
      <c r="R32" s="84">
        <f t="shared" si="2"/>
        <v>0</v>
      </c>
      <c r="S32" s="95">
        <f>'Table 4 Formula'!BA32</f>
        <v>9900424.5347</v>
      </c>
      <c r="T32" s="95">
        <f>'Table 4 Formula'!BB32</f>
        <v>3874.92</v>
      </c>
    </row>
    <row r="33" spans="1:20" ht="12.75">
      <c r="A33" s="60">
        <v>26</v>
      </c>
      <c r="B33" s="61" t="s">
        <v>28</v>
      </c>
      <c r="C33" s="78">
        <f>'Table 4 Formula'!C33</f>
        <v>50325</v>
      </c>
      <c r="D33" s="78">
        <f>'Table 4 Formula'!U33</f>
        <v>69604</v>
      </c>
      <c r="E33" s="159">
        <f>'Table 4 Formula'!V33</f>
        <v>3103</v>
      </c>
      <c r="F33" s="77">
        <f>'Table 4 Formula'!W33</f>
        <v>215981212</v>
      </c>
      <c r="G33" s="77">
        <f>'Table 4 Formula'!AA33</f>
        <v>122656617.86697333</v>
      </c>
      <c r="H33" s="77">
        <f>'Table 4 Formula'!AC33</f>
        <v>93324594.13302667</v>
      </c>
      <c r="I33" s="77">
        <f>'Table 4 Formula'!AF33</f>
        <v>41729435.633026674</v>
      </c>
      <c r="J33" s="79">
        <f>'Table 4 Formula'!AG33</f>
        <v>0</v>
      </c>
      <c r="K33" s="77">
        <f>'Table 4 Formula'!AI33</f>
        <v>41729435.633026674</v>
      </c>
      <c r="L33" s="61">
        <f t="shared" si="0"/>
        <v>1</v>
      </c>
      <c r="M33" s="77">
        <f>'Table 4 Formula'!AJ33</f>
        <v>1103748.162731474</v>
      </c>
      <c r="N33" s="77">
        <f>'Table 4 Formula'!AN33</f>
        <v>94428342.29575814</v>
      </c>
      <c r="O33" s="79">
        <f>'Table 4 Formula'!AU33</f>
        <v>-2363931.05</v>
      </c>
      <c r="P33" s="61">
        <f t="shared" si="1"/>
        <v>0</v>
      </c>
      <c r="Q33" s="77">
        <f>'Table 4 Formula'!AV33</f>
        <v>26348134.85699998</v>
      </c>
      <c r="R33" s="61">
        <f t="shared" si="2"/>
        <v>1</v>
      </c>
      <c r="S33" s="77">
        <f>'Table 4 Formula'!BA33</f>
        <v>120776477.24999999</v>
      </c>
      <c r="T33" s="77">
        <f>'Table 4 Formula'!BB33</f>
        <v>2399.93</v>
      </c>
    </row>
    <row r="34" spans="1:20" ht="12.75">
      <c r="A34" s="60">
        <v>27</v>
      </c>
      <c r="B34" s="61" t="s">
        <v>29</v>
      </c>
      <c r="C34" s="78">
        <f>'Table 4 Formula'!C34</f>
        <v>5854</v>
      </c>
      <c r="D34" s="78">
        <f>'Table 4 Formula'!U34</f>
        <v>8388</v>
      </c>
      <c r="E34" s="159">
        <f>'Table 4 Formula'!V34</f>
        <v>3103</v>
      </c>
      <c r="F34" s="77">
        <f>'Table 4 Formula'!W34</f>
        <v>26027964</v>
      </c>
      <c r="G34" s="77">
        <f>'Table 4 Formula'!AA34</f>
        <v>5964507.032034638</v>
      </c>
      <c r="H34" s="77">
        <f>'Table 4 Formula'!AC34</f>
        <v>20063456.96796536</v>
      </c>
      <c r="I34" s="77">
        <f>'Table 4 Formula'!AF34</f>
        <v>3377554.9679653617</v>
      </c>
      <c r="J34" s="79">
        <f>'Table 4 Formula'!AG34</f>
        <v>0</v>
      </c>
      <c r="K34" s="77">
        <f>'Table 4 Formula'!AI34</f>
        <v>3377554.9679653617</v>
      </c>
      <c r="L34" s="61">
        <f t="shared" si="0"/>
        <v>1</v>
      </c>
      <c r="M34" s="77">
        <f>'Table 4 Formula'!AJ34</f>
        <v>2050710.0799140378</v>
      </c>
      <c r="N34" s="77">
        <f>'Table 4 Formula'!AN34</f>
        <v>22114167.047879398</v>
      </c>
      <c r="O34" s="79">
        <f>'Table 4 Formula'!AU34</f>
        <v>498171.6388</v>
      </c>
      <c r="P34" s="61">
        <f t="shared" si="1"/>
        <v>1</v>
      </c>
      <c r="Q34" s="77">
        <f>'Table 4 Formula'!AV34</f>
        <v>0</v>
      </c>
      <c r="R34" s="61">
        <f t="shared" si="2"/>
        <v>0</v>
      </c>
      <c r="S34" s="77">
        <f>'Table 4 Formula'!BA34</f>
        <v>22114167.0495</v>
      </c>
      <c r="T34" s="77">
        <f>'Table 4 Formula'!BB34</f>
        <v>3777.62</v>
      </c>
    </row>
    <row r="35" spans="1:20" ht="12.75">
      <c r="A35" s="60">
        <v>28</v>
      </c>
      <c r="B35" s="61" t="s">
        <v>30</v>
      </c>
      <c r="C35" s="78">
        <f>'Table 4 Formula'!C35</f>
        <v>29132</v>
      </c>
      <c r="D35" s="78">
        <f>'Table 4 Formula'!U35</f>
        <v>37544</v>
      </c>
      <c r="E35" s="159">
        <f>'Table 4 Formula'!V35</f>
        <v>3103</v>
      </c>
      <c r="F35" s="77">
        <f>'Table 4 Formula'!W35</f>
        <v>116499032</v>
      </c>
      <c r="G35" s="77">
        <f>'Table 4 Formula'!AA35</f>
        <v>53829066.30946806</v>
      </c>
      <c r="H35" s="77">
        <f>'Table 4 Formula'!AC35</f>
        <v>62669965.69053194</v>
      </c>
      <c r="I35" s="77">
        <f>'Table 4 Formula'!AF35</f>
        <v>17417347.69053194</v>
      </c>
      <c r="J35" s="79">
        <f>'Table 4 Formula'!AG35</f>
        <v>0</v>
      </c>
      <c r="K35" s="77">
        <f>'Table 4 Formula'!AI35</f>
        <v>17417347.69053194</v>
      </c>
      <c r="L35" s="61">
        <f t="shared" si="0"/>
        <v>1</v>
      </c>
      <c r="M35" s="77">
        <f>'Table 4 Formula'!AJ35</f>
        <v>3621140.016399455</v>
      </c>
      <c r="N35" s="77">
        <f>'Table 4 Formula'!AN35</f>
        <v>66291105.7069314</v>
      </c>
      <c r="O35" s="79">
        <f>'Table 4 Formula'!AU35</f>
        <v>-1444546.76</v>
      </c>
      <c r="P35" s="61">
        <f t="shared" si="1"/>
        <v>0</v>
      </c>
      <c r="Q35" s="77">
        <f>'Table 4 Formula'!AV35</f>
        <v>2359035.0733999982</v>
      </c>
      <c r="R35" s="61">
        <f t="shared" si="2"/>
        <v>1</v>
      </c>
      <c r="S35" s="77">
        <f>'Table 4 Formula'!BA35</f>
        <v>68650140.64</v>
      </c>
      <c r="T35" s="77">
        <f>'Table 4 Formula'!BB35</f>
        <v>2356.52</v>
      </c>
    </row>
    <row r="36" spans="1:20" ht="12.75">
      <c r="A36" s="60">
        <v>29</v>
      </c>
      <c r="B36" s="61" t="s">
        <v>31</v>
      </c>
      <c r="C36" s="78">
        <f>'Table 4 Formula'!C36</f>
        <v>15142</v>
      </c>
      <c r="D36" s="78">
        <f>'Table 4 Formula'!U36</f>
        <v>20190</v>
      </c>
      <c r="E36" s="159">
        <f>'Table 4 Formula'!V36</f>
        <v>3103</v>
      </c>
      <c r="F36" s="77">
        <f>'Table 4 Formula'!W36</f>
        <v>62649570</v>
      </c>
      <c r="G36" s="77">
        <f>'Table 4 Formula'!AA36</f>
        <v>17942517.389793385</v>
      </c>
      <c r="H36" s="77">
        <f>'Table 4 Formula'!AC36</f>
        <v>44707052.61020662</v>
      </c>
      <c r="I36" s="77">
        <f>'Table 4 Formula'!AF36</f>
        <v>12747156.110206615</v>
      </c>
      <c r="J36" s="79">
        <f>'Table 4 Formula'!AG36</f>
        <v>0</v>
      </c>
      <c r="K36" s="77">
        <f>'Table 4 Formula'!AI36</f>
        <v>12747156.110206615</v>
      </c>
      <c r="L36" s="61">
        <f t="shared" si="0"/>
        <v>1</v>
      </c>
      <c r="M36" s="77">
        <f>'Table 4 Formula'!AJ36</f>
        <v>6488776.603313842</v>
      </c>
      <c r="N36" s="77">
        <f>'Table 4 Formula'!AN36</f>
        <v>51195829.21352046</v>
      </c>
      <c r="O36" s="79">
        <f>'Table 4 Formula'!AU36</f>
        <v>424437.9188</v>
      </c>
      <c r="P36" s="61">
        <f t="shared" si="1"/>
        <v>1</v>
      </c>
      <c r="Q36" s="77">
        <f>'Table 4 Formula'!AV36</f>
        <v>0</v>
      </c>
      <c r="R36" s="61">
        <f t="shared" si="2"/>
        <v>0</v>
      </c>
      <c r="S36" s="77">
        <f>'Table 4 Formula'!BA36</f>
        <v>51195829.2703</v>
      </c>
      <c r="T36" s="77">
        <f>'Table 4 Formula'!BB36</f>
        <v>3381.05</v>
      </c>
    </row>
    <row r="37" spans="1:20" ht="12.75">
      <c r="A37" s="83">
        <v>30</v>
      </c>
      <c r="B37" s="84" t="s">
        <v>32</v>
      </c>
      <c r="C37" s="96">
        <f>'Table 4 Formula'!C37</f>
        <v>2600</v>
      </c>
      <c r="D37" s="96">
        <f>'Table 4 Formula'!U37</f>
        <v>3561</v>
      </c>
      <c r="E37" s="160">
        <f>'Table 4 Formula'!V37</f>
        <v>3103</v>
      </c>
      <c r="F37" s="95">
        <f>'Table 4 Formula'!W37</f>
        <v>11049783</v>
      </c>
      <c r="G37" s="95">
        <f>'Table 4 Formula'!AA37</f>
        <v>2473966.2851714822</v>
      </c>
      <c r="H37" s="95">
        <f>'Table 4 Formula'!AC37</f>
        <v>8575816.714828517</v>
      </c>
      <c r="I37" s="95">
        <f>'Table 4 Formula'!AF37</f>
        <v>2170886.7148285178</v>
      </c>
      <c r="J37" s="97">
        <f>'Table 4 Formula'!AG37</f>
        <v>0</v>
      </c>
      <c r="K37" s="95">
        <f>'Table 4 Formula'!AI37</f>
        <v>2170886.7148285178</v>
      </c>
      <c r="L37" s="84">
        <f t="shared" si="0"/>
        <v>1</v>
      </c>
      <c r="M37" s="95">
        <f>'Table 4 Formula'!AJ37</f>
        <v>1337665.1818948183</v>
      </c>
      <c r="N37" s="95">
        <f>'Table 4 Formula'!AN37</f>
        <v>9913481.896723336</v>
      </c>
      <c r="O37" s="97">
        <f>'Table 4 Formula'!AU37</f>
        <v>637999.162</v>
      </c>
      <c r="P37" s="84">
        <f t="shared" si="1"/>
        <v>1</v>
      </c>
      <c r="Q37" s="95">
        <f>'Table 4 Formula'!AV37</f>
        <v>0</v>
      </c>
      <c r="R37" s="84">
        <f t="shared" si="2"/>
        <v>0</v>
      </c>
      <c r="S37" s="95">
        <f>'Table 4 Formula'!BA37</f>
        <v>9913481.89</v>
      </c>
      <c r="T37" s="95">
        <f>'Table 4 Formula'!BB37</f>
        <v>3812.88</v>
      </c>
    </row>
    <row r="38" spans="1:20" ht="12.75">
      <c r="A38" s="60">
        <v>31</v>
      </c>
      <c r="B38" s="61" t="s">
        <v>33</v>
      </c>
      <c r="C38" s="78">
        <f>'Table 4 Formula'!C38</f>
        <v>6643</v>
      </c>
      <c r="D38" s="78">
        <f>'Table 4 Formula'!U38</f>
        <v>8707</v>
      </c>
      <c r="E38" s="159">
        <f>'Table 4 Formula'!V38</f>
        <v>3103</v>
      </c>
      <c r="F38" s="77">
        <f>'Table 4 Formula'!W38</f>
        <v>27017821</v>
      </c>
      <c r="G38" s="77">
        <f>'Table 4 Formula'!AA38</f>
        <v>8956703.756727787</v>
      </c>
      <c r="H38" s="77">
        <f>'Table 4 Formula'!AC38</f>
        <v>18061117.243272215</v>
      </c>
      <c r="I38" s="77">
        <f>'Table 4 Formula'!AF38</f>
        <v>4938108.743272213</v>
      </c>
      <c r="J38" s="79">
        <f>'Table 4 Formula'!AG38</f>
        <v>0</v>
      </c>
      <c r="K38" s="77">
        <f>'Table 4 Formula'!AI38</f>
        <v>4938108.743272213</v>
      </c>
      <c r="L38" s="61">
        <f t="shared" si="0"/>
        <v>1</v>
      </c>
      <c r="M38" s="77">
        <f>'Table 4 Formula'!AJ38</f>
        <v>2131760.053821364</v>
      </c>
      <c r="N38" s="77">
        <f>'Table 4 Formula'!AN38</f>
        <v>20192877.297093578</v>
      </c>
      <c r="O38" s="79">
        <f>'Table 4 Formula'!AU38</f>
        <v>835055.9146</v>
      </c>
      <c r="P38" s="61">
        <f t="shared" si="1"/>
        <v>1</v>
      </c>
      <c r="Q38" s="77">
        <f>'Table 4 Formula'!AV38</f>
        <v>0</v>
      </c>
      <c r="R38" s="61">
        <f t="shared" si="2"/>
        <v>0</v>
      </c>
      <c r="S38" s="77">
        <f>'Table 4 Formula'!BA38</f>
        <v>20192877.2982</v>
      </c>
      <c r="T38" s="77">
        <f>'Table 4 Formula'!BB38</f>
        <v>3039.72</v>
      </c>
    </row>
    <row r="39" spans="1:20" ht="12.75">
      <c r="A39" s="60">
        <v>32</v>
      </c>
      <c r="B39" s="61" t="s">
        <v>34</v>
      </c>
      <c r="C39" s="78">
        <f>'Table 4 Formula'!C39</f>
        <v>19739</v>
      </c>
      <c r="D39" s="78">
        <f>'Table 4 Formula'!U39</f>
        <v>24203</v>
      </c>
      <c r="E39" s="159">
        <f>'Table 4 Formula'!V39</f>
        <v>3103</v>
      </c>
      <c r="F39" s="77">
        <f>'Table 4 Formula'!W39</f>
        <v>75101909</v>
      </c>
      <c r="G39" s="77">
        <f>'Table 4 Formula'!AA39</f>
        <v>10676148.444998123</v>
      </c>
      <c r="H39" s="77">
        <f>'Table 4 Formula'!AC39</f>
        <v>64425760.55500188</v>
      </c>
      <c r="I39" s="77">
        <f>'Table 4 Formula'!AF39</f>
        <v>11634506.555001877</v>
      </c>
      <c r="J39" s="79">
        <f>'Table 4 Formula'!AG39</f>
        <v>0</v>
      </c>
      <c r="K39" s="77">
        <f>'Table 4 Formula'!AI39</f>
        <v>11634506.555001877</v>
      </c>
      <c r="L39" s="61">
        <f t="shared" si="0"/>
        <v>1</v>
      </c>
      <c r="M39" s="77">
        <f>'Table 4 Formula'!AJ39</f>
        <v>8799234.944893394</v>
      </c>
      <c r="N39" s="77">
        <f>'Table 4 Formula'!AN39</f>
        <v>73224995.49989527</v>
      </c>
      <c r="O39" s="79">
        <f>'Table 4 Formula'!AU39</f>
        <v>2758575.7567</v>
      </c>
      <c r="P39" s="61">
        <f t="shared" si="1"/>
        <v>1</v>
      </c>
      <c r="Q39" s="77">
        <f>'Table 4 Formula'!AV39</f>
        <v>0</v>
      </c>
      <c r="R39" s="61">
        <f t="shared" si="2"/>
        <v>0</v>
      </c>
      <c r="S39" s="77">
        <f>'Table 4 Formula'!BA39</f>
        <v>73224995.5182</v>
      </c>
      <c r="T39" s="77">
        <f>'Table 4 Formula'!BB39</f>
        <v>3709.66</v>
      </c>
    </row>
    <row r="40" spans="1:20" ht="12.75">
      <c r="A40" s="60">
        <v>33</v>
      </c>
      <c r="B40" s="61" t="s">
        <v>35</v>
      </c>
      <c r="C40" s="78">
        <f>'Table 4 Formula'!C40</f>
        <v>2489</v>
      </c>
      <c r="D40" s="78">
        <f>'Table 4 Formula'!U40</f>
        <v>3616</v>
      </c>
      <c r="E40" s="159">
        <f>'Table 4 Formula'!V40</f>
        <v>3103</v>
      </c>
      <c r="F40" s="77">
        <f>'Table 4 Formula'!W40</f>
        <v>11220448</v>
      </c>
      <c r="G40" s="77">
        <f>'Table 4 Formula'!AA40</f>
        <v>2062098.8553456792</v>
      </c>
      <c r="H40" s="77">
        <f>'Table 4 Formula'!AC40</f>
        <v>9158349.14465432</v>
      </c>
      <c r="I40" s="77">
        <f>'Table 4 Formula'!AF40</f>
        <v>0</v>
      </c>
      <c r="J40" s="79">
        <f>'Table 4 Formula'!AG40</f>
        <v>-299818.3553456792</v>
      </c>
      <c r="K40" s="77">
        <f>'Table 4 Formula'!AI40</f>
        <v>0</v>
      </c>
      <c r="L40" s="61">
        <f t="shared" si="0"/>
        <v>0</v>
      </c>
      <c r="M40" s="77">
        <f>'Table 4 Formula'!AJ40</f>
        <v>0</v>
      </c>
      <c r="N40" s="77">
        <f>'Table 4 Formula'!AN40</f>
        <v>9158349.14465432</v>
      </c>
      <c r="O40" s="79">
        <f>'Table 4 Formula'!AU40</f>
        <v>-8942.1287</v>
      </c>
      <c r="P40" s="61">
        <f t="shared" si="1"/>
        <v>0</v>
      </c>
      <c r="Q40" s="77">
        <f>'Table 4 Formula'!AV40</f>
        <v>0</v>
      </c>
      <c r="R40" s="61">
        <f t="shared" si="2"/>
        <v>0</v>
      </c>
      <c r="S40" s="77">
        <f>'Table 4 Formula'!BA40</f>
        <v>9158349.1495</v>
      </c>
      <c r="T40" s="77">
        <f>'Table 4 Formula'!BB40</f>
        <v>3679.53</v>
      </c>
    </row>
    <row r="41" spans="1:20" ht="12.75">
      <c r="A41" s="60">
        <v>34</v>
      </c>
      <c r="B41" s="61" t="s">
        <v>36</v>
      </c>
      <c r="C41" s="78">
        <f>'Table 4 Formula'!C41</f>
        <v>5308</v>
      </c>
      <c r="D41" s="78">
        <f>'Table 4 Formula'!U41</f>
        <v>7630</v>
      </c>
      <c r="E41" s="159">
        <f>'Table 4 Formula'!V41</f>
        <v>3103</v>
      </c>
      <c r="F41" s="77">
        <f>'Table 4 Formula'!W41</f>
        <v>23675890</v>
      </c>
      <c r="G41" s="77">
        <f>'Table 4 Formula'!AA41</f>
        <v>5923497.294160925</v>
      </c>
      <c r="H41" s="77">
        <f>'Table 4 Formula'!AC41</f>
        <v>17752392.705839075</v>
      </c>
      <c r="I41" s="77">
        <f>'Table 4 Formula'!AF41</f>
        <v>1383005.7058390751</v>
      </c>
      <c r="J41" s="79">
        <f>'Table 4 Formula'!AG41</f>
        <v>0</v>
      </c>
      <c r="K41" s="77">
        <f>'Table 4 Formula'!AI41</f>
        <v>1383005.7058390751</v>
      </c>
      <c r="L41" s="61">
        <f t="shared" si="0"/>
        <v>1</v>
      </c>
      <c r="M41" s="77">
        <f>'Table 4 Formula'!AJ41</f>
        <v>789835.789479774</v>
      </c>
      <c r="N41" s="77">
        <f>'Table 4 Formula'!AN41</f>
        <v>18542228.49531885</v>
      </c>
      <c r="O41" s="79">
        <f>'Table 4 Formula'!AU41</f>
        <v>612782.4569</v>
      </c>
      <c r="P41" s="61">
        <f t="shared" si="1"/>
        <v>1</v>
      </c>
      <c r="Q41" s="77">
        <f>'Table 4 Formula'!AV41</f>
        <v>0</v>
      </c>
      <c r="R41" s="61">
        <f t="shared" si="2"/>
        <v>0</v>
      </c>
      <c r="S41" s="77">
        <f>'Table 4 Formula'!BA41</f>
        <v>18542228.4856</v>
      </c>
      <c r="T41" s="77">
        <f>'Table 4 Formula'!BB41</f>
        <v>3493.26</v>
      </c>
    </row>
    <row r="42" spans="1:20" ht="12.75">
      <c r="A42" s="83">
        <v>35</v>
      </c>
      <c r="B42" s="84" t="s">
        <v>37</v>
      </c>
      <c r="C42" s="96">
        <f>'Table 4 Formula'!C42</f>
        <v>6781</v>
      </c>
      <c r="D42" s="96">
        <f>'Table 4 Formula'!U42</f>
        <v>9217</v>
      </c>
      <c r="E42" s="160">
        <f>'Table 4 Formula'!V42</f>
        <v>3103</v>
      </c>
      <c r="F42" s="95">
        <f>'Table 4 Formula'!W42</f>
        <v>28600351</v>
      </c>
      <c r="G42" s="95">
        <f>'Table 4 Formula'!AA42</f>
        <v>7795731.512850512</v>
      </c>
      <c r="H42" s="95">
        <f>'Table 4 Formula'!AC42</f>
        <v>20804619.48714949</v>
      </c>
      <c r="I42" s="95">
        <f>'Table 4 Formula'!AF42</f>
        <v>4262426.987149488</v>
      </c>
      <c r="J42" s="97">
        <f>'Table 4 Formula'!AG42</f>
        <v>0</v>
      </c>
      <c r="K42" s="95">
        <f>'Table 4 Formula'!AI42</f>
        <v>4262426.987149488</v>
      </c>
      <c r="L42" s="84">
        <f t="shared" si="0"/>
        <v>1</v>
      </c>
      <c r="M42" s="95">
        <f>'Table 4 Formula'!AJ42</f>
        <v>2270718.4664371596</v>
      </c>
      <c r="N42" s="95">
        <f>'Table 4 Formula'!AN42</f>
        <v>23075337.95358665</v>
      </c>
      <c r="O42" s="97">
        <f>'Table 4 Formula'!AU42</f>
        <v>449933.1194</v>
      </c>
      <c r="P42" s="84">
        <f t="shared" si="1"/>
        <v>1</v>
      </c>
      <c r="Q42" s="95">
        <f>'Table 4 Formula'!AV42</f>
        <v>0</v>
      </c>
      <c r="R42" s="84">
        <f t="shared" si="2"/>
        <v>0</v>
      </c>
      <c r="S42" s="95">
        <f>'Table 4 Formula'!BA42</f>
        <v>23075337.9709</v>
      </c>
      <c r="T42" s="95">
        <f>'Table 4 Formula'!BB42</f>
        <v>3402.94</v>
      </c>
    </row>
    <row r="43" spans="1:20" ht="12.75">
      <c r="A43" s="60">
        <v>36</v>
      </c>
      <c r="B43" s="61" t="s">
        <v>38</v>
      </c>
      <c r="C43" s="78">
        <f>'Table 4 Formula'!C43</f>
        <v>75743</v>
      </c>
      <c r="D43" s="78">
        <f>'Table 4 Formula'!U43</f>
        <v>99758</v>
      </c>
      <c r="E43" s="159">
        <f>'Table 4 Formula'!V43</f>
        <v>3103</v>
      </c>
      <c r="F43" s="77">
        <f>'Table 4 Formula'!W43</f>
        <v>309549074</v>
      </c>
      <c r="G43" s="77">
        <f>'Table 4 Formula'!AA43</f>
        <v>112502858.4152594</v>
      </c>
      <c r="H43" s="77">
        <f>'Table 4 Formula'!AC43</f>
        <v>197046215.58474058</v>
      </c>
      <c r="I43" s="77">
        <f>'Table 4 Formula'!AF43</f>
        <v>62874590.584740594</v>
      </c>
      <c r="J43" s="79">
        <f>'Table 4 Formula'!AG43</f>
        <v>0</v>
      </c>
      <c r="K43" s="77">
        <f>'Table 4 Formula'!AI43</f>
        <v>62874590.584740594</v>
      </c>
      <c r="L43" s="61">
        <f t="shared" si="0"/>
        <v>1</v>
      </c>
      <c r="M43" s="77">
        <f>'Table 4 Formula'!AJ43</f>
        <v>23701086.079352524</v>
      </c>
      <c r="N43" s="77">
        <f>'Table 4 Formula'!AN43</f>
        <v>220747301.6640931</v>
      </c>
      <c r="O43" s="79">
        <f>'Table 4 Formula'!AU43</f>
        <v>-5206671.5607</v>
      </c>
      <c r="P43" s="61">
        <f t="shared" si="1"/>
        <v>0</v>
      </c>
      <c r="Q43" s="77">
        <f>'Table 4 Formula'!AV43</f>
        <v>0</v>
      </c>
      <c r="R43" s="61">
        <f t="shared" si="2"/>
        <v>0</v>
      </c>
      <c r="S43" s="77">
        <f>'Table 4 Formula'!BA43</f>
        <v>220747301.8642</v>
      </c>
      <c r="T43" s="77">
        <f>'Table 4 Formula'!BB43</f>
        <v>2914.43</v>
      </c>
    </row>
    <row r="44" spans="1:20" ht="12.75">
      <c r="A44" s="60">
        <v>37</v>
      </c>
      <c r="B44" s="61" t="s">
        <v>39</v>
      </c>
      <c r="C44" s="78">
        <f>'Table 4 Formula'!C44</f>
        <v>17365</v>
      </c>
      <c r="D44" s="78">
        <f>'Table 4 Formula'!U44</f>
        <v>22257</v>
      </c>
      <c r="E44" s="159">
        <f>'Table 4 Formula'!V44</f>
        <v>3103</v>
      </c>
      <c r="F44" s="77">
        <f>'Table 4 Formula'!W44</f>
        <v>69063471</v>
      </c>
      <c r="G44" s="77">
        <f>'Table 4 Formula'!AA44</f>
        <v>17224463.11050225</v>
      </c>
      <c r="H44" s="77">
        <f>'Table 4 Formula'!AC44</f>
        <v>51839007.88949775</v>
      </c>
      <c r="I44" s="77">
        <f>'Table 4 Formula'!AF44</f>
        <v>23622537.88949775</v>
      </c>
      <c r="J44" s="79">
        <f>'Table 4 Formula'!AG44</f>
        <v>0</v>
      </c>
      <c r="K44" s="77">
        <f>'Table 4 Formula'!AI44</f>
        <v>22790945</v>
      </c>
      <c r="L44" s="61">
        <f t="shared" si="0"/>
        <v>1</v>
      </c>
      <c r="M44" s="77">
        <f>'Table 4 Formula'!AJ44</f>
        <v>13046819.957039721</v>
      </c>
      <c r="N44" s="77">
        <f>'Table 4 Formula'!AN44</f>
        <v>64885827.84653747</v>
      </c>
      <c r="O44" s="79">
        <f>'Table 4 Formula'!AU44</f>
        <v>4900728.6239</v>
      </c>
      <c r="P44" s="61">
        <f t="shared" si="1"/>
        <v>1</v>
      </c>
      <c r="Q44" s="77">
        <f>'Table 4 Formula'!AV44</f>
        <v>0</v>
      </c>
      <c r="R44" s="61">
        <f t="shared" si="2"/>
        <v>0</v>
      </c>
      <c r="S44" s="77">
        <f>'Table 4 Formula'!BA44</f>
        <v>64885827.8719</v>
      </c>
      <c r="T44" s="77">
        <f>'Table 4 Formula'!BB44</f>
        <v>3736.59</v>
      </c>
    </row>
    <row r="45" spans="1:20" ht="12.75">
      <c r="A45" s="60">
        <v>38</v>
      </c>
      <c r="B45" s="61" t="s">
        <v>40</v>
      </c>
      <c r="C45" s="78">
        <f>'Table 4 Formula'!C45</f>
        <v>4772</v>
      </c>
      <c r="D45" s="78">
        <f>'Table 4 Formula'!U45</f>
        <v>6512</v>
      </c>
      <c r="E45" s="159">
        <f>'Table 4 Formula'!V45</f>
        <v>3103</v>
      </c>
      <c r="F45" s="77">
        <f>'Table 4 Formula'!W45</f>
        <v>20206736</v>
      </c>
      <c r="G45" s="77">
        <f>'Table 4 Formula'!AA45</f>
        <v>17382872.01998012</v>
      </c>
      <c r="H45" s="77">
        <f>'Table 4 Formula'!AC45</f>
        <v>2823863.9800198786</v>
      </c>
      <c r="I45" s="77">
        <f>'Table 4 Formula'!AF45</f>
        <v>0</v>
      </c>
      <c r="J45" s="79">
        <f>'Table 4 Formula'!AG45</f>
        <v>-544852.5199801214</v>
      </c>
      <c r="K45" s="77">
        <f>'Table 4 Formula'!AI45</f>
        <v>0</v>
      </c>
      <c r="L45" s="61">
        <f t="shared" si="0"/>
        <v>0</v>
      </c>
      <c r="M45" s="77">
        <f>'Table 4 Formula'!AJ45</f>
        <v>0</v>
      </c>
      <c r="N45" s="77">
        <f>'Table 4 Formula'!AN45</f>
        <v>2823863.9800198786</v>
      </c>
      <c r="O45" s="79">
        <f>'Table 4 Formula'!AU45</f>
        <v>-6294.09</v>
      </c>
      <c r="P45" s="61">
        <f t="shared" si="1"/>
        <v>0</v>
      </c>
      <c r="Q45" s="77">
        <f>'Table 4 Formula'!AV45</f>
        <v>7187935.1855</v>
      </c>
      <c r="R45" s="61">
        <f t="shared" si="2"/>
        <v>1</v>
      </c>
      <c r="S45" s="77">
        <f>'Table 4 Formula'!BA45</f>
        <v>10011799.16</v>
      </c>
      <c r="T45" s="77">
        <f>'Table 4 Formula'!BB45</f>
        <v>2098.03</v>
      </c>
    </row>
    <row r="46" spans="1:20" ht="12.75">
      <c r="A46" s="60">
        <v>39</v>
      </c>
      <c r="B46" s="61" t="s">
        <v>41</v>
      </c>
      <c r="C46" s="78">
        <f>'Table 4 Formula'!C46</f>
        <v>3325</v>
      </c>
      <c r="D46" s="78">
        <f>'Table 4 Formula'!U46</f>
        <v>4978</v>
      </c>
      <c r="E46" s="159">
        <f>'Table 4 Formula'!V46</f>
        <v>3103</v>
      </c>
      <c r="F46" s="77">
        <f>'Table 4 Formula'!W46</f>
        <v>15446734</v>
      </c>
      <c r="G46" s="77">
        <f>'Table 4 Formula'!AA46</f>
        <v>7208810.295538295</v>
      </c>
      <c r="H46" s="77">
        <f>'Table 4 Formula'!AC46</f>
        <v>8237923.704461705</v>
      </c>
      <c r="I46" s="77">
        <f>'Table 4 Formula'!AF46</f>
        <v>0</v>
      </c>
      <c r="J46" s="79">
        <f>'Table 4 Formula'!AG46</f>
        <v>-167928.79553829506</v>
      </c>
      <c r="K46" s="77">
        <f>'Table 4 Formula'!AI46</f>
        <v>0</v>
      </c>
      <c r="L46" s="61">
        <f t="shared" si="0"/>
        <v>0</v>
      </c>
      <c r="M46" s="77">
        <f>'Table 4 Formula'!AJ46</f>
        <v>0</v>
      </c>
      <c r="N46" s="77">
        <f>'Table 4 Formula'!AN46</f>
        <v>8237923.704461705</v>
      </c>
      <c r="O46" s="79">
        <f>'Table 4 Formula'!AU46</f>
        <v>-54740.28</v>
      </c>
      <c r="P46" s="61">
        <f t="shared" si="1"/>
        <v>0</v>
      </c>
      <c r="Q46" s="77">
        <f>'Table 4 Formula'!AV46</f>
        <v>429287.29200000037</v>
      </c>
      <c r="R46" s="61">
        <f t="shared" si="2"/>
        <v>1</v>
      </c>
      <c r="S46" s="77">
        <f>'Table 4 Formula'!BA46</f>
        <v>8667211</v>
      </c>
      <c r="T46" s="77">
        <f>'Table 4 Formula'!BB46</f>
        <v>2606.68</v>
      </c>
    </row>
    <row r="47" spans="1:20" ht="12.75">
      <c r="A47" s="83">
        <v>40</v>
      </c>
      <c r="B47" s="84" t="s">
        <v>42</v>
      </c>
      <c r="C47" s="96">
        <f>'Table 4 Formula'!C47</f>
        <v>23133</v>
      </c>
      <c r="D47" s="96">
        <f>'Table 4 Formula'!U47</f>
        <v>30869</v>
      </c>
      <c r="E47" s="160">
        <f>'Table 4 Formula'!V47</f>
        <v>3103</v>
      </c>
      <c r="F47" s="95">
        <f>'Table 4 Formula'!W47</f>
        <v>95786507</v>
      </c>
      <c r="G47" s="95">
        <f>'Table 4 Formula'!AA47</f>
        <v>29325545.333715603</v>
      </c>
      <c r="H47" s="95">
        <f>'Table 4 Formula'!AC47</f>
        <v>66460961.6662844</v>
      </c>
      <c r="I47" s="95">
        <f>'Table 4 Formula'!AF47</f>
        <v>20986416.666284397</v>
      </c>
      <c r="J47" s="97">
        <f>'Table 4 Formula'!AG47</f>
        <v>0</v>
      </c>
      <c r="K47" s="95">
        <f>'Table 4 Formula'!AI47</f>
        <v>20986416.666284397</v>
      </c>
      <c r="L47" s="84">
        <f t="shared" si="0"/>
        <v>1</v>
      </c>
      <c r="M47" s="95">
        <f>'Table 4 Formula'!AJ47</f>
        <v>9971957.663546527</v>
      </c>
      <c r="N47" s="95">
        <f>'Table 4 Formula'!AN47</f>
        <v>76432919.32983093</v>
      </c>
      <c r="O47" s="97">
        <f>'Table 4 Formula'!AU47</f>
        <v>1554608.269</v>
      </c>
      <c r="P47" s="84">
        <f t="shared" si="1"/>
        <v>1</v>
      </c>
      <c r="Q47" s="95">
        <f>'Table 4 Formula'!AV47</f>
        <v>0</v>
      </c>
      <c r="R47" s="84">
        <f t="shared" si="2"/>
        <v>0</v>
      </c>
      <c r="S47" s="95">
        <f>'Table 4 Formula'!BA47</f>
        <v>76432919.2206</v>
      </c>
      <c r="T47" s="95">
        <f>'Table 4 Formula'!BB47</f>
        <v>3304.06</v>
      </c>
    </row>
    <row r="48" spans="1:20" ht="12.75">
      <c r="A48" s="60">
        <v>41</v>
      </c>
      <c r="B48" s="61" t="s">
        <v>43</v>
      </c>
      <c r="C48" s="78">
        <f>'Table 4 Formula'!C48</f>
        <v>1818</v>
      </c>
      <c r="D48" s="78">
        <f>'Table 4 Formula'!U48</f>
        <v>2767</v>
      </c>
      <c r="E48" s="159">
        <f>'Table 4 Formula'!V48</f>
        <v>3103</v>
      </c>
      <c r="F48" s="77">
        <f>'Table 4 Formula'!W48</f>
        <v>8586001</v>
      </c>
      <c r="G48" s="77">
        <f>'Table 4 Formula'!AA48</f>
        <v>1385576.7988881664</v>
      </c>
      <c r="H48" s="77">
        <f>'Table 4 Formula'!AC48</f>
        <v>7200424.201111834</v>
      </c>
      <c r="I48" s="77">
        <f>'Table 4 Formula'!AF48</f>
        <v>2025472.2011118336</v>
      </c>
      <c r="J48" s="79">
        <f>'Table 4 Formula'!AG48</f>
        <v>0</v>
      </c>
      <c r="K48" s="77">
        <f>'Table 4 Formula'!AI48</f>
        <v>2025472.2011118336</v>
      </c>
      <c r="L48" s="61">
        <f t="shared" si="0"/>
        <v>1</v>
      </c>
      <c r="M48" s="77">
        <f>'Table 4 Formula'!AJ48</f>
        <v>1465134.8120879238</v>
      </c>
      <c r="N48" s="77">
        <f>'Table 4 Formula'!AN48</f>
        <v>8665559.013199758</v>
      </c>
      <c r="O48" s="79">
        <f>'Table 4 Formula'!AU48</f>
        <v>239851.9309</v>
      </c>
      <c r="P48" s="61">
        <f t="shared" si="1"/>
        <v>1</v>
      </c>
      <c r="Q48" s="77">
        <f>'Table 4 Formula'!AV48</f>
        <v>0</v>
      </c>
      <c r="R48" s="61">
        <f t="shared" si="2"/>
        <v>0</v>
      </c>
      <c r="S48" s="77">
        <f>'Table 4 Formula'!BA48</f>
        <v>8665559.012</v>
      </c>
      <c r="T48" s="77">
        <f>'Table 4 Formula'!BB48</f>
        <v>4766.53</v>
      </c>
    </row>
    <row r="49" spans="1:20" ht="12.75">
      <c r="A49" s="60">
        <v>42</v>
      </c>
      <c r="B49" s="61" t="s">
        <v>44</v>
      </c>
      <c r="C49" s="78">
        <f>'Table 4 Formula'!C49</f>
        <v>3760</v>
      </c>
      <c r="D49" s="78">
        <f>'Table 4 Formula'!U49</f>
        <v>5559</v>
      </c>
      <c r="E49" s="159">
        <f>'Table 4 Formula'!V49</f>
        <v>3103</v>
      </c>
      <c r="F49" s="77">
        <f>'Table 4 Formula'!W49</f>
        <v>17249577</v>
      </c>
      <c r="G49" s="77">
        <f>'Table 4 Formula'!AA49</f>
        <v>3361454.972890413</v>
      </c>
      <c r="H49" s="77">
        <f>'Table 4 Formula'!AC49</f>
        <v>13888122.027109588</v>
      </c>
      <c r="I49" s="77">
        <f>'Table 4 Formula'!AF49</f>
        <v>845419.5271095871</v>
      </c>
      <c r="J49" s="79">
        <f>'Table 4 Formula'!AG49</f>
        <v>0</v>
      </c>
      <c r="K49" s="77">
        <f>'Table 4 Formula'!AI49</f>
        <v>845419.5271095871</v>
      </c>
      <c r="L49" s="61">
        <f t="shared" si="0"/>
        <v>1</v>
      </c>
      <c r="M49" s="77">
        <f>'Table 4 Formula'!AJ49</f>
        <v>562993.7172707343</v>
      </c>
      <c r="N49" s="77">
        <f>'Table 4 Formula'!AN49</f>
        <v>14451115.744380321</v>
      </c>
      <c r="O49" s="79">
        <f>'Table 4 Formula'!AU49</f>
        <v>672560.0816</v>
      </c>
      <c r="P49" s="61">
        <f t="shared" si="1"/>
        <v>1</v>
      </c>
      <c r="Q49" s="77">
        <f>'Table 4 Formula'!AV49</f>
        <v>0</v>
      </c>
      <c r="R49" s="61">
        <f t="shared" si="2"/>
        <v>0</v>
      </c>
      <c r="S49" s="77">
        <f>'Table 4 Formula'!BA49</f>
        <v>14451115.756</v>
      </c>
      <c r="T49" s="77">
        <f>'Table 4 Formula'!BB49</f>
        <v>3843.38</v>
      </c>
    </row>
    <row r="50" spans="1:20" ht="12.75">
      <c r="A50" s="60">
        <v>43</v>
      </c>
      <c r="B50" s="61" t="s">
        <v>45</v>
      </c>
      <c r="C50" s="78">
        <f>'Table 4 Formula'!C50</f>
        <v>4257</v>
      </c>
      <c r="D50" s="78">
        <f>'Table 4 Formula'!U50</f>
        <v>6239</v>
      </c>
      <c r="E50" s="159">
        <f>'Table 4 Formula'!V50</f>
        <v>3103</v>
      </c>
      <c r="F50" s="77">
        <f>'Table 4 Formula'!W50</f>
        <v>19359617</v>
      </c>
      <c r="G50" s="77">
        <f>'Table 4 Formula'!AA50</f>
        <v>4487783.265038177</v>
      </c>
      <c r="H50" s="77">
        <f>'Table 4 Formula'!AC50</f>
        <v>14871833.734961823</v>
      </c>
      <c r="I50" s="77">
        <f>'Table 4 Formula'!AF50</f>
        <v>995084.7349618226</v>
      </c>
      <c r="J50" s="79">
        <f>'Table 4 Formula'!AG50</f>
        <v>0</v>
      </c>
      <c r="K50" s="77">
        <f>'Table 4 Formula'!AI50</f>
        <v>995084.7349618226</v>
      </c>
      <c r="L50" s="61">
        <f t="shared" si="0"/>
        <v>1</v>
      </c>
      <c r="M50" s="77">
        <f>'Table 4 Formula'!AJ50</f>
        <v>599646.881719085</v>
      </c>
      <c r="N50" s="77">
        <f>'Table 4 Formula'!AN50</f>
        <v>15471480.616680907</v>
      </c>
      <c r="O50" s="79">
        <f>'Table 4 Formula'!AU50</f>
        <v>120972.5381</v>
      </c>
      <c r="P50" s="61">
        <f t="shared" si="1"/>
        <v>1</v>
      </c>
      <c r="Q50" s="77">
        <f>'Table 4 Formula'!AV50</f>
        <v>0</v>
      </c>
      <c r="R50" s="61">
        <f t="shared" si="2"/>
        <v>0</v>
      </c>
      <c r="S50" s="77">
        <f>'Table 4 Formula'!BA50</f>
        <v>15471480.6091</v>
      </c>
      <c r="T50" s="77">
        <f>'Table 4 Formula'!BB50</f>
        <v>3634.36</v>
      </c>
    </row>
    <row r="51" spans="1:20" ht="12.75">
      <c r="A51" s="60">
        <v>44</v>
      </c>
      <c r="B51" s="61" t="s">
        <v>46</v>
      </c>
      <c r="C51" s="78">
        <f>'Table 4 Formula'!C51</f>
        <v>8447</v>
      </c>
      <c r="D51" s="78">
        <f>'Table 4 Formula'!U51</f>
        <v>11253</v>
      </c>
      <c r="E51" s="159">
        <f>'Table 4 Formula'!V51</f>
        <v>3103</v>
      </c>
      <c r="F51" s="77">
        <f>'Table 4 Formula'!W51</f>
        <v>34918059</v>
      </c>
      <c r="G51" s="77">
        <f>'Table 4 Formula'!AA51</f>
        <v>12443885.671705808</v>
      </c>
      <c r="H51" s="77">
        <f>'Table 4 Formula'!AC51</f>
        <v>22474173.32829419</v>
      </c>
      <c r="I51" s="77">
        <f>'Table 4 Formula'!AF51</f>
        <v>6407000.8282941915</v>
      </c>
      <c r="J51" s="79">
        <f>'Table 4 Formula'!AG51</f>
        <v>0</v>
      </c>
      <c r="K51" s="77">
        <f>'Table 4 Formula'!AI51</f>
        <v>6407000.8282941915</v>
      </c>
      <c r="L51" s="61">
        <f t="shared" si="0"/>
        <v>1</v>
      </c>
      <c r="M51" s="77">
        <f>'Table 4 Formula'!AJ51</f>
        <v>2492793.211647188</v>
      </c>
      <c r="N51" s="77">
        <f>'Table 4 Formula'!AN51</f>
        <v>24966966.539941378</v>
      </c>
      <c r="O51" s="79">
        <f>'Table 4 Formula'!AU51</f>
        <v>144810.8362</v>
      </c>
      <c r="P51" s="61">
        <f t="shared" si="1"/>
        <v>1</v>
      </c>
      <c r="Q51" s="77">
        <f>'Table 4 Formula'!AV51</f>
        <v>0</v>
      </c>
      <c r="R51" s="61">
        <f t="shared" si="2"/>
        <v>0</v>
      </c>
      <c r="S51" s="77">
        <f>'Table 4 Formula'!BA51</f>
        <v>24966966.5021</v>
      </c>
      <c r="T51" s="77">
        <f>'Table 4 Formula'!BB51</f>
        <v>2955.72</v>
      </c>
    </row>
    <row r="52" spans="1:20" ht="12.75">
      <c r="A52" s="83">
        <v>45</v>
      </c>
      <c r="B52" s="84" t="s">
        <v>47</v>
      </c>
      <c r="C52" s="96">
        <f>'Table 4 Formula'!C52</f>
        <v>9679</v>
      </c>
      <c r="D52" s="96">
        <f>'Table 4 Formula'!U52</f>
        <v>12503</v>
      </c>
      <c r="E52" s="160">
        <f>'Table 4 Formula'!V52</f>
        <v>3103</v>
      </c>
      <c r="F52" s="95">
        <f>'Table 4 Formula'!W52</f>
        <v>38796809</v>
      </c>
      <c r="G52" s="95">
        <f>'Table 4 Formula'!AA52</f>
        <v>26725169.677121118</v>
      </c>
      <c r="H52" s="95">
        <f>'Table 4 Formula'!AC52</f>
        <v>12071639.322878882</v>
      </c>
      <c r="I52" s="95">
        <f>'Table 4 Formula'!AF52</f>
        <v>26523357.322878882</v>
      </c>
      <c r="J52" s="97">
        <f>'Table 4 Formula'!AG52</f>
        <v>0</v>
      </c>
      <c r="K52" s="95">
        <f>'Table 4 Formula'!AI52</f>
        <v>12802947</v>
      </c>
      <c r="L52" s="84">
        <f t="shared" si="0"/>
        <v>1</v>
      </c>
      <c r="M52" s="95">
        <f>'Table 4 Formula'!AJ52</f>
        <v>0</v>
      </c>
      <c r="N52" s="95">
        <f>'Table 4 Formula'!AN52</f>
        <v>12071639.322878882</v>
      </c>
      <c r="O52" s="97">
        <f>'Table 4 Formula'!AU52</f>
        <v>-162511.2</v>
      </c>
      <c r="P52" s="84">
        <f t="shared" si="1"/>
        <v>0</v>
      </c>
      <c r="Q52" s="95">
        <f>'Table 4 Formula'!AV52</f>
        <v>9774831.585399998</v>
      </c>
      <c r="R52" s="84">
        <f t="shared" si="2"/>
        <v>1</v>
      </c>
      <c r="S52" s="95">
        <f>'Table 4 Formula'!BA52</f>
        <v>21846470.9</v>
      </c>
      <c r="T52" s="95">
        <f>'Table 4 Formula'!BB52</f>
        <v>2257.1</v>
      </c>
    </row>
    <row r="53" spans="1:20" ht="12.75">
      <c r="A53" s="60">
        <v>46</v>
      </c>
      <c r="B53" s="61" t="s">
        <v>48</v>
      </c>
      <c r="C53" s="78">
        <f>'Table 4 Formula'!C53</f>
        <v>1405</v>
      </c>
      <c r="D53" s="78">
        <f>'Table 4 Formula'!U53</f>
        <v>2254</v>
      </c>
      <c r="E53" s="159">
        <f>'Table 4 Formula'!V53</f>
        <v>3103</v>
      </c>
      <c r="F53" s="77">
        <f>'Table 4 Formula'!W53</f>
        <v>6994162</v>
      </c>
      <c r="G53" s="77">
        <f>'Table 4 Formula'!AA53</f>
        <v>1262249.0224327934</v>
      </c>
      <c r="H53" s="77">
        <f>'Table 4 Formula'!AC53</f>
        <v>5731912.977567207</v>
      </c>
      <c r="I53" s="77">
        <f>'Table 4 Formula'!AF53</f>
        <v>168342.9775672066</v>
      </c>
      <c r="J53" s="79">
        <f>'Table 4 Formula'!AG53</f>
        <v>0</v>
      </c>
      <c r="K53" s="77">
        <f>'Table 4 Formula'!AI53</f>
        <v>168342.9775672066</v>
      </c>
      <c r="L53" s="61">
        <f t="shared" si="0"/>
        <v>1</v>
      </c>
      <c r="M53" s="77">
        <f>'Table 4 Formula'!AJ53</f>
        <v>116261.0093231086</v>
      </c>
      <c r="N53" s="77">
        <f>'Table 4 Formula'!AN53</f>
        <v>5848173.986890316</v>
      </c>
      <c r="O53" s="79">
        <f>'Table 4 Formula'!AU53</f>
        <v>-271210.8056</v>
      </c>
      <c r="P53" s="61">
        <f t="shared" si="1"/>
        <v>0</v>
      </c>
      <c r="Q53" s="77">
        <f>'Table 4 Formula'!AV53</f>
        <v>0</v>
      </c>
      <c r="R53" s="61">
        <f t="shared" si="2"/>
        <v>0</v>
      </c>
      <c r="S53" s="77">
        <f>'Table 4 Formula'!BA53</f>
        <v>5848173.9811</v>
      </c>
      <c r="T53" s="77">
        <f>'Table 4 Formula'!BB53</f>
        <v>4162.4</v>
      </c>
    </row>
    <row r="54" spans="1:20" ht="12.75">
      <c r="A54" s="60">
        <v>47</v>
      </c>
      <c r="B54" s="61" t="s">
        <v>49</v>
      </c>
      <c r="C54" s="78">
        <f>'Table 4 Formula'!C54</f>
        <v>3866</v>
      </c>
      <c r="D54" s="78">
        <f>'Table 4 Formula'!U54</f>
        <v>5545</v>
      </c>
      <c r="E54" s="159">
        <f>'Table 4 Formula'!V54</f>
        <v>3103</v>
      </c>
      <c r="F54" s="77">
        <f>'Table 4 Formula'!W54</f>
        <v>17206135</v>
      </c>
      <c r="G54" s="77">
        <f>'Table 4 Formula'!AA54</f>
        <v>9852893.418472964</v>
      </c>
      <c r="H54" s="77">
        <f>'Table 4 Formula'!AC54</f>
        <v>7353241.581527036</v>
      </c>
      <c r="I54" s="77">
        <f>'Table 4 Formula'!AF54</f>
        <v>6208262.581527036</v>
      </c>
      <c r="J54" s="79">
        <f>'Table 4 Formula'!AG54</f>
        <v>0</v>
      </c>
      <c r="K54" s="77">
        <f>'Table 4 Formula'!AI54</f>
        <v>5678025</v>
      </c>
      <c r="L54" s="61">
        <f t="shared" si="0"/>
        <v>1</v>
      </c>
      <c r="M54" s="77">
        <f>'Table 4 Formula'!AJ54</f>
        <v>104106.87227625074</v>
      </c>
      <c r="N54" s="77">
        <f>'Table 4 Formula'!AN54</f>
        <v>7457348.453803286</v>
      </c>
      <c r="O54" s="79">
        <f>'Table 4 Formula'!AU54</f>
        <v>-238215.46</v>
      </c>
      <c r="P54" s="61">
        <f t="shared" si="1"/>
        <v>0</v>
      </c>
      <c r="Q54" s="77">
        <f>'Table 4 Formula'!AV54</f>
        <v>1940008.3621000005</v>
      </c>
      <c r="R54" s="61">
        <f t="shared" si="2"/>
        <v>1</v>
      </c>
      <c r="S54" s="77">
        <f>'Table 4 Formula'!BA54</f>
        <v>9397356.82</v>
      </c>
      <c r="T54" s="77">
        <f>'Table 4 Formula'!BB54</f>
        <v>2430.77</v>
      </c>
    </row>
    <row r="55" spans="1:20" ht="12.75">
      <c r="A55" s="60">
        <v>48</v>
      </c>
      <c r="B55" s="61" t="s">
        <v>50</v>
      </c>
      <c r="C55" s="78">
        <f>'Table 4 Formula'!C55</f>
        <v>6363</v>
      </c>
      <c r="D55" s="78">
        <f>'Table 4 Formula'!U55</f>
        <v>9529</v>
      </c>
      <c r="E55" s="159">
        <f>'Table 4 Formula'!V55</f>
        <v>3103</v>
      </c>
      <c r="F55" s="77">
        <f>'Table 4 Formula'!W55</f>
        <v>29568487</v>
      </c>
      <c r="G55" s="77">
        <f>'Table 4 Formula'!AA55</f>
        <v>9794780.29538099</v>
      </c>
      <c r="H55" s="77">
        <f>'Table 4 Formula'!AC55</f>
        <v>19773706.704619013</v>
      </c>
      <c r="I55" s="77">
        <f>'Table 4 Formula'!AF55</f>
        <v>7271310.704619011</v>
      </c>
      <c r="J55" s="79">
        <f>'Table 4 Formula'!AG55</f>
        <v>0</v>
      </c>
      <c r="K55" s="77">
        <f>'Table 4 Formula'!AI55</f>
        <v>7271310.704619011</v>
      </c>
      <c r="L55" s="61">
        <f t="shared" si="0"/>
        <v>1</v>
      </c>
      <c r="M55" s="77">
        <f>'Table 4 Formula'!AJ55</f>
        <v>3142152.0183213847</v>
      </c>
      <c r="N55" s="77">
        <f>'Table 4 Formula'!AN55</f>
        <v>22915858.722940397</v>
      </c>
      <c r="O55" s="79">
        <f>'Table 4 Formula'!AU55</f>
        <v>1701503.8835</v>
      </c>
      <c r="P55" s="61">
        <f t="shared" si="1"/>
        <v>1</v>
      </c>
      <c r="Q55" s="77">
        <f>'Table 4 Formula'!AV55</f>
        <v>0</v>
      </c>
      <c r="R55" s="61">
        <f t="shared" si="2"/>
        <v>0</v>
      </c>
      <c r="S55" s="77">
        <f>'Table 4 Formula'!BA55</f>
        <v>22915858.7486</v>
      </c>
      <c r="T55" s="77">
        <f>'Table 4 Formula'!BB55</f>
        <v>3601.42</v>
      </c>
    </row>
    <row r="56" spans="1:20" ht="12.75">
      <c r="A56" s="60">
        <v>49</v>
      </c>
      <c r="B56" s="61" t="s">
        <v>51</v>
      </c>
      <c r="C56" s="78">
        <f>'Table 4 Formula'!C56</f>
        <v>15463</v>
      </c>
      <c r="D56" s="78">
        <f>'Table 4 Formula'!U56</f>
        <v>21600</v>
      </c>
      <c r="E56" s="159">
        <f>'Table 4 Formula'!V56</f>
        <v>3103</v>
      </c>
      <c r="F56" s="77">
        <f>'Table 4 Formula'!W56</f>
        <v>67024800</v>
      </c>
      <c r="G56" s="77">
        <f>'Table 4 Formula'!AA56</f>
        <v>14443958.098239375</v>
      </c>
      <c r="H56" s="77">
        <f>'Table 4 Formula'!AC56</f>
        <v>52580841.90176062</v>
      </c>
      <c r="I56" s="77">
        <f>'Table 4 Formula'!AF56</f>
        <v>5896416.401760625</v>
      </c>
      <c r="J56" s="79">
        <f>'Table 4 Formula'!AG56</f>
        <v>0</v>
      </c>
      <c r="K56" s="77">
        <f>'Table 4 Formula'!AI56</f>
        <v>5896416.401760625</v>
      </c>
      <c r="L56" s="61">
        <f t="shared" si="0"/>
        <v>1</v>
      </c>
      <c r="M56" s="77">
        <f>'Table 4 Formula'!AJ56</f>
        <v>3718094.2217697715</v>
      </c>
      <c r="N56" s="77">
        <f>'Table 4 Formula'!AN56</f>
        <v>56298936.123530395</v>
      </c>
      <c r="O56" s="79">
        <f>'Table 4 Formula'!AU56</f>
        <v>3971417.1739</v>
      </c>
      <c r="P56" s="61">
        <f t="shared" si="1"/>
        <v>1</v>
      </c>
      <c r="Q56" s="77">
        <f>'Table 4 Formula'!AV56</f>
        <v>0</v>
      </c>
      <c r="R56" s="61">
        <f t="shared" si="2"/>
        <v>0</v>
      </c>
      <c r="S56" s="77">
        <f>'Table 4 Formula'!BA56</f>
        <v>56298936.0993</v>
      </c>
      <c r="T56" s="77">
        <f>'Table 4 Formula'!BB56</f>
        <v>3640.88</v>
      </c>
    </row>
    <row r="57" spans="1:20" ht="12.75">
      <c r="A57" s="83">
        <v>50</v>
      </c>
      <c r="B57" s="84" t="s">
        <v>52</v>
      </c>
      <c r="C57" s="78">
        <f>'Table 4 Formula'!C57</f>
        <v>8558</v>
      </c>
      <c r="D57" s="96">
        <f>'Table 4 Formula'!U57</f>
        <v>11762</v>
      </c>
      <c r="E57" s="160">
        <f>'Table 4 Formula'!V57</f>
        <v>3103</v>
      </c>
      <c r="F57" s="95">
        <f>'Table 4 Formula'!W57</f>
        <v>36497486</v>
      </c>
      <c r="G57" s="95">
        <f>'Table 4 Formula'!AA57</f>
        <v>7142070.83912863</v>
      </c>
      <c r="H57" s="95">
        <f>'Table 4 Formula'!AC57</f>
        <v>29355415.16087137</v>
      </c>
      <c r="I57" s="95">
        <f>'Table 4 Formula'!AF57</f>
        <v>4241265.16087137</v>
      </c>
      <c r="J57" s="97">
        <f>'Table 4 Formula'!AG57</f>
        <v>0</v>
      </c>
      <c r="K57" s="95">
        <f>'Table 4 Formula'!AI57</f>
        <v>4241265.16087137</v>
      </c>
      <c r="L57" s="84">
        <f t="shared" si="0"/>
        <v>1</v>
      </c>
      <c r="M57" s="95">
        <f>'Table 4 Formula'!AJ57</f>
        <v>2818477.7025527502</v>
      </c>
      <c r="N57" s="95">
        <f>'Table 4 Formula'!AN57</f>
        <v>32173892.863424122</v>
      </c>
      <c r="O57" s="97">
        <f>'Table 4 Formula'!AU57</f>
        <v>1083087.4727</v>
      </c>
      <c r="P57" s="84">
        <f t="shared" si="1"/>
        <v>1</v>
      </c>
      <c r="Q57" s="95">
        <f>'Table 4 Formula'!AV57</f>
        <v>0</v>
      </c>
      <c r="R57" s="84">
        <f t="shared" si="2"/>
        <v>0</v>
      </c>
      <c r="S57" s="95">
        <f>'Table 4 Formula'!BA57</f>
        <v>32173892.8273</v>
      </c>
      <c r="T57" s="95">
        <f>'Table 4 Formula'!BB57</f>
        <v>3759.51</v>
      </c>
    </row>
    <row r="58" spans="1:20" ht="12.75">
      <c r="A58" s="60">
        <v>51</v>
      </c>
      <c r="B58" s="61" t="s">
        <v>53</v>
      </c>
      <c r="C58" s="78">
        <f>'Table 4 Formula'!C58</f>
        <v>10536</v>
      </c>
      <c r="D58" s="78">
        <f>'Table 4 Formula'!U58</f>
        <v>14318</v>
      </c>
      <c r="E58" s="159">
        <f>'Table 4 Formula'!V58</f>
        <v>3103</v>
      </c>
      <c r="F58" s="77">
        <f>'Table 4 Formula'!W58</f>
        <v>44428754</v>
      </c>
      <c r="G58" s="77">
        <f>'Table 4 Formula'!AA58</f>
        <v>14171252.938041713</v>
      </c>
      <c r="H58" s="77">
        <f>'Table 4 Formula'!AC58</f>
        <v>30257501.061958287</v>
      </c>
      <c r="I58" s="77">
        <f>'Table 4 Formula'!AF58</f>
        <v>7900388.061958287</v>
      </c>
      <c r="J58" s="79">
        <f>'Table 4 Formula'!AG58</f>
        <v>0</v>
      </c>
      <c r="K58" s="77">
        <f>'Table 4 Formula'!AI58</f>
        <v>7900388.061958287</v>
      </c>
      <c r="L58" s="61">
        <f t="shared" si="0"/>
        <v>1</v>
      </c>
      <c r="M58" s="77">
        <f>'Table 4 Formula'!AJ58</f>
        <v>3580467.1198320957</v>
      </c>
      <c r="N58" s="77">
        <f>'Table 4 Formula'!AN58</f>
        <v>33837968.18179038</v>
      </c>
      <c r="O58" s="79">
        <f>'Table 4 Formula'!AU58</f>
        <v>1097253.3964</v>
      </c>
      <c r="P58" s="61">
        <f t="shared" si="1"/>
        <v>1</v>
      </c>
      <c r="Q58" s="77">
        <f>'Table 4 Formula'!AV58</f>
        <v>0</v>
      </c>
      <c r="R58" s="61">
        <f t="shared" si="2"/>
        <v>0</v>
      </c>
      <c r="S58" s="77">
        <f>'Table 4 Formula'!BA58</f>
        <v>33837968.2114</v>
      </c>
      <c r="T58" s="77">
        <f>'Table 4 Formula'!BB58</f>
        <v>3211.65</v>
      </c>
    </row>
    <row r="59" spans="1:20" ht="12.75">
      <c r="A59" s="60">
        <v>52</v>
      </c>
      <c r="B59" s="61" t="s">
        <v>54</v>
      </c>
      <c r="C59" s="78">
        <f>'Table 4 Formula'!C59</f>
        <v>32502</v>
      </c>
      <c r="D59" s="78">
        <f>'Table 4 Formula'!U59</f>
        <v>43850</v>
      </c>
      <c r="E59" s="159">
        <f>'Table 4 Formula'!V59</f>
        <v>3103</v>
      </c>
      <c r="F59" s="77">
        <f>'Table 4 Formula'!W59</f>
        <v>136066550</v>
      </c>
      <c r="G59" s="77">
        <f>'Table 4 Formula'!AA59</f>
        <v>40234370.193207294</v>
      </c>
      <c r="H59" s="77">
        <f>'Table 4 Formula'!AC59</f>
        <v>95832179.8067927</v>
      </c>
      <c r="I59" s="77">
        <f>'Table 4 Formula'!AF59</f>
        <v>49578076.806792706</v>
      </c>
      <c r="J59" s="79">
        <f>'Table 4 Formula'!AG59</f>
        <v>0</v>
      </c>
      <c r="K59" s="77">
        <f>'Table 4 Formula'!AI59</f>
        <v>44901962</v>
      </c>
      <c r="L59" s="61">
        <f t="shared" si="0"/>
        <v>1</v>
      </c>
      <c r="M59" s="77">
        <f>'Table 4 Formula'!AJ59</f>
        <v>22140801.120229572</v>
      </c>
      <c r="N59" s="77">
        <f>'Table 4 Formula'!AN59</f>
        <v>117972980.92702228</v>
      </c>
      <c r="O59" s="79">
        <f>'Table 4 Formula'!AU59</f>
        <v>3262511.5618</v>
      </c>
      <c r="P59" s="61">
        <f t="shared" si="1"/>
        <v>1</v>
      </c>
      <c r="Q59" s="77">
        <f>'Table 4 Formula'!AV59</f>
        <v>0</v>
      </c>
      <c r="R59" s="61">
        <f t="shared" si="2"/>
        <v>0</v>
      </c>
      <c r="S59" s="77">
        <f>'Table 4 Formula'!BA59</f>
        <v>117972981.004</v>
      </c>
      <c r="T59" s="77">
        <f>'Table 4 Formula'!BB59</f>
        <v>3629.71</v>
      </c>
    </row>
    <row r="60" spans="1:20" ht="12.75">
      <c r="A60" s="60">
        <v>53</v>
      </c>
      <c r="B60" s="61" t="s">
        <v>55</v>
      </c>
      <c r="C60" s="78">
        <f>'Table 4 Formula'!C60</f>
        <v>18123</v>
      </c>
      <c r="D60" s="78">
        <f>'Table 4 Formula'!U60</f>
        <v>24504</v>
      </c>
      <c r="E60" s="159">
        <f>'Table 4 Formula'!V60</f>
        <v>3103</v>
      </c>
      <c r="F60" s="77">
        <f>'Table 4 Formula'!W60</f>
        <v>76035912</v>
      </c>
      <c r="G60" s="77">
        <f>'Table 4 Formula'!AA60</f>
        <v>16610468.641900029</v>
      </c>
      <c r="H60" s="77">
        <f>'Table 4 Formula'!AC60</f>
        <v>59425443.35809997</v>
      </c>
      <c r="I60" s="77">
        <f>'Table 4 Formula'!AF60</f>
        <v>7964161.358099971</v>
      </c>
      <c r="J60" s="79">
        <f>'Table 4 Formula'!AG60</f>
        <v>0</v>
      </c>
      <c r="K60" s="77">
        <f>'Table 4 Formula'!AI60</f>
        <v>7964161.358099971</v>
      </c>
      <c r="L60" s="61">
        <f t="shared" si="0"/>
        <v>1</v>
      </c>
      <c r="M60" s="77">
        <f>'Table 4 Formula'!AJ60</f>
        <v>4981621.189322696</v>
      </c>
      <c r="N60" s="77">
        <f>'Table 4 Formula'!AN60</f>
        <v>64407064.54742266</v>
      </c>
      <c r="O60" s="79">
        <f>'Table 4 Formula'!AU60</f>
        <v>638038.6446</v>
      </c>
      <c r="P60" s="61">
        <f t="shared" si="1"/>
        <v>1</v>
      </c>
      <c r="Q60" s="77">
        <f>'Table 4 Formula'!AV60</f>
        <v>0</v>
      </c>
      <c r="R60" s="61">
        <f t="shared" si="2"/>
        <v>0</v>
      </c>
      <c r="S60" s="77">
        <f>'Table 4 Formula'!BA60</f>
        <v>64407064.5605</v>
      </c>
      <c r="T60" s="77">
        <f>'Table 4 Formula'!BB60</f>
        <v>3553.89</v>
      </c>
    </row>
    <row r="61" spans="1:20" ht="12.75">
      <c r="A61" s="60">
        <v>54</v>
      </c>
      <c r="B61" s="61" t="s">
        <v>56</v>
      </c>
      <c r="C61" s="78">
        <f>'Table 4 Formula'!C61</f>
        <v>1028</v>
      </c>
      <c r="D61" s="78">
        <f>'Table 4 Formula'!U61</f>
        <v>1768</v>
      </c>
      <c r="E61" s="159">
        <f>'Table 4 Formula'!V61</f>
        <v>3103</v>
      </c>
      <c r="F61" s="77">
        <f>'Table 4 Formula'!W61</f>
        <v>5486104</v>
      </c>
      <c r="G61" s="77">
        <f>'Table 4 Formula'!AA61</f>
        <v>1426405.2664696658</v>
      </c>
      <c r="H61" s="77">
        <f>'Table 4 Formula'!AC61</f>
        <v>4059698.733530334</v>
      </c>
      <c r="I61" s="77">
        <f>'Table 4 Formula'!AF61</f>
        <v>0</v>
      </c>
      <c r="J61" s="79">
        <f>'Table 4 Formula'!AG61</f>
        <v>-231772.7664696658</v>
      </c>
      <c r="K61" s="77">
        <f>'Table 4 Formula'!AI61</f>
        <v>0</v>
      </c>
      <c r="L61" s="61">
        <f t="shared" si="0"/>
        <v>0</v>
      </c>
      <c r="M61" s="77">
        <f>'Table 4 Formula'!AJ61</f>
        <v>0</v>
      </c>
      <c r="N61" s="77">
        <f>'Table 4 Formula'!AN61</f>
        <v>4059698.733530334</v>
      </c>
      <c r="O61" s="79">
        <f>'Table 4 Formula'!AU61</f>
        <v>-438566.6557</v>
      </c>
      <c r="P61" s="61">
        <f t="shared" si="1"/>
        <v>0</v>
      </c>
      <c r="Q61" s="77">
        <f>'Table 4 Formula'!AV61</f>
        <v>0</v>
      </c>
      <c r="R61" s="61">
        <f t="shared" si="2"/>
        <v>0</v>
      </c>
      <c r="S61" s="77">
        <f>'Table 4 Formula'!BA61</f>
        <v>4059698.7318</v>
      </c>
      <c r="T61" s="77">
        <f>'Table 4 Formula'!BB61</f>
        <v>3949.12</v>
      </c>
    </row>
    <row r="62" spans="1:20" ht="12.75">
      <c r="A62" s="83">
        <v>55</v>
      </c>
      <c r="B62" s="84" t="s">
        <v>57</v>
      </c>
      <c r="C62" s="96">
        <f>'Table 4 Formula'!C62</f>
        <v>19633</v>
      </c>
      <c r="D62" s="96">
        <f>'Table 4 Formula'!U62</f>
        <v>26998</v>
      </c>
      <c r="E62" s="160">
        <f>'Table 4 Formula'!V62</f>
        <v>3103</v>
      </c>
      <c r="F62" s="95">
        <f>'Table 4 Formula'!W62</f>
        <v>83774794</v>
      </c>
      <c r="G62" s="95">
        <f>'Table 4 Formula'!AA62</f>
        <v>25446147.82117939</v>
      </c>
      <c r="H62" s="95">
        <f>'Table 4 Formula'!AC62</f>
        <v>58328646.17882061</v>
      </c>
      <c r="I62" s="95">
        <f>'Table 4 Formula'!AF62</f>
        <v>11869664.67882061</v>
      </c>
      <c r="J62" s="97">
        <f>'Table 4 Formula'!AG62</f>
        <v>0</v>
      </c>
      <c r="K62" s="95">
        <f>'Table 4 Formula'!AI62</f>
        <v>11869664.67882061</v>
      </c>
      <c r="L62" s="84">
        <f t="shared" si="0"/>
        <v>1</v>
      </c>
      <c r="M62" s="95">
        <f>'Table 4 Formula'!AJ62</f>
        <v>5689067.703686531</v>
      </c>
      <c r="N62" s="95">
        <f>'Table 4 Formula'!AN62</f>
        <v>64017713.88250714</v>
      </c>
      <c r="O62" s="97">
        <f>'Table 4 Formula'!AU62</f>
        <v>731970.0097</v>
      </c>
      <c r="P62" s="84">
        <f t="shared" si="1"/>
        <v>1</v>
      </c>
      <c r="Q62" s="95">
        <f>'Table 4 Formula'!AV62</f>
        <v>0</v>
      </c>
      <c r="R62" s="84">
        <f t="shared" si="2"/>
        <v>0</v>
      </c>
      <c r="S62" s="95">
        <f>'Table 4 Formula'!BA62</f>
        <v>64017713.7967</v>
      </c>
      <c r="T62" s="95">
        <f>'Table 4 Formula'!BB62</f>
        <v>3260.72</v>
      </c>
    </row>
    <row r="63" spans="1:20" ht="12.75">
      <c r="A63" s="60">
        <v>56</v>
      </c>
      <c r="B63" s="61" t="s">
        <v>58</v>
      </c>
      <c r="C63" s="78">
        <f>'Table 4 Formula'!C63</f>
        <v>3538</v>
      </c>
      <c r="D63" s="78">
        <f>'Table 4 Formula'!U63</f>
        <v>4907</v>
      </c>
      <c r="E63" s="159">
        <f>'Table 4 Formula'!V63</f>
        <v>3103</v>
      </c>
      <c r="F63" s="77">
        <f>'Table 4 Formula'!W63</f>
        <v>15226421</v>
      </c>
      <c r="G63" s="77">
        <f>'Table 4 Formula'!AA63</f>
        <v>3669593.143736632</v>
      </c>
      <c r="H63" s="77">
        <f>'Table 4 Formula'!AC63</f>
        <v>11556827.856263367</v>
      </c>
      <c r="I63" s="77">
        <f>'Table 4 Formula'!AF63</f>
        <v>0</v>
      </c>
      <c r="J63" s="79">
        <f>'Table 4 Formula'!AG63</f>
        <v>-805274.1437366321</v>
      </c>
      <c r="K63" s="77">
        <f>'Table 4 Formula'!AI63</f>
        <v>0</v>
      </c>
      <c r="L63" s="61">
        <f t="shared" si="0"/>
        <v>0</v>
      </c>
      <c r="M63" s="77">
        <f>'Table 4 Formula'!AJ63</f>
        <v>0</v>
      </c>
      <c r="N63" s="77">
        <f>'Table 4 Formula'!AN63</f>
        <v>11556827.856263367</v>
      </c>
      <c r="O63" s="79">
        <f>'Table 4 Formula'!AU63</f>
        <v>-206189.8358</v>
      </c>
      <c r="P63" s="61">
        <f t="shared" si="1"/>
        <v>0</v>
      </c>
      <c r="Q63" s="77">
        <f>'Table 4 Formula'!AV63</f>
        <v>0</v>
      </c>
      <c r="R63" s="61">
        <f t="shared" si="2"/>
        <v>0</v>
      </c>
      <c r="S63" s="77">
        <f>'Table 4 Formula'!BA63</f>
        <v>11556827.8572</v>
      </c>
      <c r="T63" s="77">
        <f>'Table 4 Formula'!BB63</f>
        <v>3266.49</v>
      </c>
    </row>
    <row r="64" spans="1:20" ht="12.75">
      <c r="A64" s="60">
        <v>57</v>
      </c>
      <c r="B64" s="61" t="s">
        <v>59</v>
      </c>
      <c r="C64" s="78">
        <f>'Table 4 Formula'!C64</f>
        <v>8879</v>
      </c>
      <c r="D64" s="78">
        <f>'Table 4 Formula'!U64</f>
        <v>11992</v>
      </c>
      <c r="E64" s="159">
        <f>'Table 4 Formula'!V64</f>
        <v>3103</v>
      </c>
      <c r="F64" s="77">
        <f>'Table 4 Formula'!W64</f>
        <v>37211176</v>
      </c>
      <c r="G64" s="77">
        <f>'Table 4 Formula'!AA64</f>
        <v>11549306.116673822</v>
      </c>
      <c r="H64" s="77">
        <f>'Table 4 Formula'!AC64</f>
        <v>25661869.88332618</v>
      </c>
      <c r="I64" s="77">
        <f>'Table 4 Formula'!AF64</f>
        <v>2521769.3833261784</v>
      </c>
      <c r="J64" s="79">
        <f>'Table 4 Formula'!AG64</f>
        <v>0</v>
      </c>
      <c r="K64" s="77">
        <f>'Table 4 Formula'!AI64</f>
        <v>2521769.3833261784</v>
      </c>
      <c r="L64" s="61">
        <f t="shared" si="0"/>
        <v>1</v>
      </c>
      <c r="M64" s="77">
        <f>'Table 4 Formula'!AJ64</f>
        <v>1180020.7368674516</v>
      </c>
      <c r="N64" s="77">
        <f>'Table 4 Formula'!AN64</f>
        <v>26841890.62019363</v>
      </c>
      <c r="O64" s="79">
        <f>'Table 4 Formula'!AU64</f>
        <v>-61696.8052</v>
      </c>
      <c r="P64" s="61">
        <f t="shared" si="1"/>
        <v>0</v>
      </c>
      <c r="Q64" s="77">
        <f>'Table 4 Formula'!AV64</f>
        <v>0</v>
      </c>
      <c r="R64" s="61">
        <f t="shared" si="2"/>
        <v>0</v>
      </c>
      <c r="S64" s="77">
        <f>'Table 4 Formula'!BA64</f>
        <v>26841890.6497</v>
      </c>
      <c r="T64" s="77">
        <f>'Table 4 Formula'!BB64</f>
        <v>3023.08</v>
      </c>
    </row>
    <row r="65" spans="1:20" ht="12.75">
      <c r="A65" s="60">
        <v>58</v>
      </c>
      <c r="B65" s="61" t="s">
        <v>60</v>
      </c>
      <c r="C65" s="78">
        <f>'Table 4 Formula'!C65</f>
        <v>10087</v>
      </c>
      <c r="D65" s="78">
        <f>'Table 4 Formula'!U65</f>
        <v>13314</v>
      </c>
      <c r="E65" s="159">
        <f>'Table 4 Formula'!V65</f>
        <v>3103</v>
      </c>
      <c r="F65" s="77">
        <f>'Table 4 Formula'!W65</f>
        <v>41313342</v>
      </c>
      <c r="G65" s="77">
        <f>'Table 4 Formula'!AA65</f>
        <v>6432984.107822881</v>
      </c>
      <c r="H65" s="77">
        <f>'Table 4 Formula'!AC65</f>
        <v>34880357.89217712</v>
      </c>
      <c r="I65" s="77">
        <f>'Table 4 Formula'!AF65</f>
        <v>4733352.892177119</v>
      </c>
      <c r="J65" s="79">
        <f>'Table 4 Formula'!AG65</f>
        <v>0</v>
      </c>
      <c r="K65" s="77">
        <f>'Table 4 Formula'!AI65</f>
        <v>4733352.892177119</v>
      </c>
      <c r="L65" s="61">
        <f t="shared" si="0"/>
        <v>1</v>
      </c>
      <c r="M65" s="77">
        <f>'Table 4 Formula'!AJ65</f>
        <v>3469855.1296362923</v>
      </c>
      <c r="N65" s="77">
        <f>'Table 4 Formula'!AN65</f>
        <v>38350213.021813415</v>
      </c>
      <c r="O65" s="79">
        <f>'Table 4 Formula'!AU65</f>
        <v>1711031.5209</v>
      </c>
      <c r="P65" s="61">
        <f t="shared" si="1"/>
        <v>1</v>
      </c>
      <c r="Q65" s="77">
        <f>'Table 4 Formula'!AV65</f>
        <v>0</v>
      </c>
      <c r="R65" s="61">
        <f t="shared" si="2"/>
        <v>0</v>
      </c>
      <c r="S65" s="77">
        <f>'Table 4 Formula'!BA65</f>
        <v>38350213.0619</v>
      </c>
      <c r="T65" s="77">
        <f>'Table 4 Formula'!BB65</f>
        <v>3801.94</v>
      </c>
    </row>
    <row r="66" spans="1:20" ht="12.75">
      <c r="A66" s="60">
        <v>59</v>
      </c>
      <c r="B66" s="61" t="s">
        <v>61</v>
      </c>
      <c r="C66" s="78">
        <f>'Table 4 Formula'!C66</f>
        <v>4592</v>
      </c>
      <c r="D66" s="78">
        <f>'Table 4 Formula'!U66</f>
        <v>6853</v>
      </c>
      <c r="E66" s="159">
        <f>'Table 4 Formula'!V66</f>
        <v>3103</v>
      </c>
      <c r="F66" s="77">
        <f>'Table 4 Formula'!W66</f>
        <v>21264859</v>
      </c>
      <c r="G66" s="77">
        <f>'Table 4 Formula'!AA66</f>
        <v>3054649.671839881</v>
      </c>
      <c r="H66" s="77">
        <f>'Table 4 Formula'!AC66</f>
        <v>18210209.32816012</v>
      </c>
      <c r="I66" s="77">
        <f>'Table 4 Formula'!AF66</f>
        <v>2217285.828160119</v>
      </c>
      <c r="J66" s="79">
        <f>'Table 4 Formula'!AG66</f>
        <v>0</v>
      </c>
      <c r="K66" s="77">
        <f>'Table 4 Formula'!AI66</f>
        <v>2217285.828160119</v>
      </c>
      <c r="L66" s="61">
        <f t="shared" si="0"/>
        <v>1</v>
      </c>
      <c r="M66" s="77">
        <f>'Table 4 Formula'!AJ66</f>
        <v>1671272.669720783</v>
      </c>
      <c r="N66" s="77">
        <f>'Table 4 Formula'!AN66</f>
        <v>19881481.997880902</v>
      </c>
      <c r="O66" s="79">
        <f>'Table 4 Formula'!AU66</f>
        <v>1043645.8196</v>
      </c>
      <c r="P66" s="61">
        <f t="shared" si="1"/>
        <v>1</v>
      </c>
      <c r="Q66" s="77">
        <f>'Table 4 Formula'!AV66</f>
        <v>0</v>
      </c>
      <c r="R66" s="61">
        <f t="shared" si="2"/>
        <v>0</v>
      </c>
      <c r="S66" s="77">
        <f>'Table 4 Formula'!BA66</f>
        <v>19881482.0098</v>
      </c>
      <c r="T66" s="77">
        <f>'Table 4 Formula'!BB66</f>
        <v>4329.59</v>
      </c>
    </row>
    <row r="67" spans="1:20" ht="12.75">
      <c r="A67" s="83">
        <v>60</v>
      </c>
      <c r="B67" s="84" t="s">
        <v>62</v>
      </c>
      <c r="C67" s="96">
        <f>'Table 4 Formula'!C67</f>
        <v>7551</v>
      </c>
      <c r="D67" s="96">
        <f>'Table 4 Formula'!U67</f>
        <v>9871</v>
      </c>
      <c r="E67" s="160">
        <f>'Table 4 Formula'!V67</f>
        <v>3103</v>
      </c>
      <c r="F67" s="95">
        <f>'Table 4 Formula'!W67</f>
        <v>30629713</v>
      </c>
      <c r="G67" s="95">
        <f>'Table 4 Formula'!AA67</f>
        <v>8298468.673867106</v>
      </c>
      <c r="H67" s="95">
        <f>'Table 4 Formula'!AC67</f>
        <v>22331244.326132894</v>
      </c>
      <c r="I67" s="95">
        <f>'Table 4 Formula'!AF67</f>
        <v>5731509.326132894</v>
      </c>
      <c r="J67" s="97">
        <f>'Table 4 Formula'!AG67</f>
        <v>0</v>
      </c>
      <c r="K67" s="95">
        <f>'Table 4 Formula'!AI67</f>
        <v>5731509.326132894</v>
      </c>
      <c r="L67" s="84">
        <f t="shared" si="0"/>
        <v>1</v>
      </c>
      <c r="M67" s="95">
        <f>'Table 4 Formula'!AJ67</f>
        <v>3069515.677213003</v>
      </c>
      <c r="N67" s="95">
        <f>'Table 4 Formula'!AN67</f>
        <v>25400760.003345896</v>
      </c>
      <c r="O67" s="97">
        <f>'Table 4 Formula'!AU67</f>
        <v>150637.3936</v>
      </c>
      <c r="P67" s="84">
        <f t="shared" si="1"/>
        <v>1</v>
      </c>
      <c r="Q67" s="95">
        <f>'Table 4 Formula'!AV67</f>
        <v>0</v>
      </c>
      <c r="R67" s="84">
        <f t="shared" si="2"/>
        <v>0</v>
      </c>
      <c r="S67" s="95">
        <f>'Table 4 Formula'!BA67</f>
        <v>25400759.9695</v>
      </c>
      <c r="T67" s="95">
        <f>'Table 4 Formula'!BB67</f>
        <v>3363.89</v>
      </c>
    </row>
    <row r="68" spans="1:20" ht="12.75">
      <c r="A68" s="60">
        <v>61</v>
      </c>
      <c r="B68" s="61" t="s">
        <v>63</v>
      </c>
      <c r="C68" s="78">
        <f>'Table 4 Formula'!C68</f>
        <v>3753</v>
      </c>
      <c r="D68" s="78">
        <f>'Table 4 Formula'!U68</f>
        <v>5347</v>
      </c>
      <c r="E68" s="159">
        <f>'Table 4 Formula'!V68</f>
        <v>3103</v>
      </c>
      <c r="F68" s="77">
        <f>'Table 4 Formula'!W68</f>
        <v>16591741</v>
      </c>
      <c r="G68" s="77">
        <f>'Table 4 Formula'!AA68</f>
        <v>8065141.818913234</v>
      </c>
      <c r="H68" s="77">
        <f>'Table 4 Formula'!AC68</f>
        <v>8526599.181086766</v>
      </c>
      <c r="I68" s="77">
        <f>'Table 4 Formula'!AF68</f>
        <v>4482818.181086766</v>
      </c>
      <c r="J68" s="79">
        <f>'Table 4 Formula'!AG68</f>
        <v>0</v>
      </c>
      <c r="K68" s="77">
        <f>'Table 4 Formula'!AI68</f>
        <v>4482818.181086766</v>
      </c>
      <c r="L68" s="61">
        <f t="shared" si="0"/>
        <v>1</v>
      </c>
      <c r="M68" s="77">
        <f>'Table 4 Formula'!AJ68</f>
        <v>747269.6616073484</v>
      </c>
      <c r="N68" s="77">
        <f>'Table 4 Formula'!AN68</f>
        <v>9273868.842694115</v>
      </c>
      <c r="O68" s="79">
        <f>'Table 4 Formula'!AU68</f>
        <v>556674.7721</v>
      </c>
      <c r="P68" s="61">
        <f t="shared" si="1"/>
        <v>1</v>
      </c>
      <c r="Q68" s="77">
        <f>'Table 4 Formula'!AV68</f>
        <v>0</v>
      </c>
      <c r="R68" s="61">
        <f t="shared" si="2"/>
        <v>0</v>
      </c>
      <c r="S68" s="77">
        <f>'Table 4 Formula'!BA68</f>
        <v>9273868.8521</v>
      </c>
      <c r="T68" s="77">
        <f>'Table 4 Formula'!BB68</f>
        <v>2471.05</v>
      </c>
    </row>
    <row r="69" spans="1:20" ht="12.75">
      <c r="A69" s="60">
        <v>62</v>
      </c>
      <c r="B69" s="61" t="s">
        <v>64</v>
      </c>
      <c r="C69" s="78">
        <f>'Table 4 Formula'!C69</f>
        <v>2486</v>
      </c>
      <c r="D69" s="78">
        <f>'Table 4 Formula'!U69</f>
        <v>3586</v>
      </c>
      <c r="E69" s="159">
        <f>'Table 4 Formula'!V69</f>
        <v>3103</v>
      </c>
      <c r="F69" s="77">
        <f>'Table 4 Formula'!W69</f>
        <v>11127358</v>
      </c>
      <c r="G69" s="77">
        <f>'Table 4 Formula'!AA69</f>
        <v>1927095.139480084</v>
      </c>
      <c r="H69" s="77">
        <f>'Table 4 Formula'!AC69</f>
        <v>9200262.860519916</v>
      </c>
      <c r="I69" s="77">
        <f>'Table 4 Formula'!AF69</f>
        <v>0</v>
      </c>
      <c r="J69" s="79">
        <f>'Table 4 Formula'!AG69</f>
        <v>-77097.13948008395</v>
      </c>
      <c r="K69" s="77">
        <f>'Table 4 Formula'!AI69</f>
        <v>0</v>
      </c>
      <c r="L69" s="61">
        <f t="shared" si="0"/>
        <v>0</v>
      </c>
      <c r="M69" s="77">
        <f>'Table 4 Formula'!AJ69</f>
        <v>0</v>
      </c>
      <c r="N69" s="77">
        <f>'Table 4 Formula'!AN69</f>
        <v>9200262.860519916</v>
      </c>
      <c r="O69" s="79">
        <f>'Table 4 Formula'!AU69</f>
        <v>-35456.2669</v>
      </c>
      <c r="P69" s="61">
        <f t="shared" si="1"/>
        <v>0</v>
      </c>
      <c r="Q69" s="77">
        <f>'Table 4 Formula'!AV69</f>
        <v>0</v>
      </c>
      <c r="R69" s="61">
        <f t="shared" si="2"/>
        <v>0</v>
      </c>
      <c r="S69" s="77">
        <f>'Table 4 Formula'!BA69</f>
        <v>9200262.8579</v>
      </c>
      <c r="T69" s="77">
        <f>'Table 4 Formula'!BB69</f>
        <v>3700.83</v>
      </c>
    </row>
    <row r="70" spans="1:20" ht="12.75">
      <c r="A70" s="60">
        <v>63</v>
      </c>
      <c r="B70" s="61" t="s">
        <v>65</v>
      </c>
      <c r="C70" s="78">
        <f>'Table 4 Formula'!C70</f>
        <v>2191</v>
      </c>
      <c r="D70" s="78">
        <f>'Table 4 Formula'!U70</f>
        <v>3246</v>
      </c>
      <c r="E70" s="159">
        <f>'Table 4 Formula'!V70</f>
        <v>3103</v>
      </c>
      <c r="F70" s="77">
        <f>'Table 4 Formula'!W70</f>
        <v>10072338</v>
      </c>
      <c r="G70" s="77">
        <f>'Table 4 Formula'!AA70</f>
        <v>9313656.950971264</v>
      </c>
      <c r="H70" s="77">
        <f>'Table 4 Formula'!AC70</f>
        <v>758681.0490287356</v>
      </c>
      <c r="I70" s="77">
        <f>'Table 4 Formula'!AF70</f>
        <v>558486.5490287356</v>
      </c>
      <c r="J70" s="79">
        <f>'Table 4 Formula'!AG70</f>
        <v>0</v>
      </c>
      <c r="K70" s="77">
        <f>'Table 4 Formula'!AI70</f>
        <v>558486.5490287356</v>
      </c>
      <c r="L70" s="61">
        <f t="shared" si="0"/>
        <v>1</v>
      </c>
      <c r="M70" s="77">
        <f>'Table 4 Formula'!AJ70</f>
        <v>0</v>
      </c>
      <c r="N70" s="77">
        <f>'Table 4 Formula'!AN70</f>
        <v>758681.0490287356</v>
      </c>
      <c r="O70" s="79">
        <f>'Table 4 Formula'!AU70</f>
        <v>-100406.28</v>
      </c>
      <c r="P70" s="61">
        <f t="shared" si="1"/>
        <v>0</v>
      </c>
      <c r="Q70" s="77">
        <f>'Table 4 Formula'!AV70</f>
        <v>5908356.6663</v>
      </c>
      <c r="R70" s="61">
        <f t="shared" si="2"/>
        <v>1</v>
      </c>
      <c r="S70" s="77">
        <f>'Table 4 Formula'!BA70</f>
        <v>6667037.72</v>
      </c>
      <c r="T70" s="77">
        <f>'Table 4 Formula'!BB70</f>
        <v>3042.92</v>
      </c>
    </row>
    <row r="71" spans="1:20" ht="12.75">
      <c r="A71" s="60">
        <v>64</v>
      </c>
      <c r="B71" s="61" t="s">
        <v>66</v>
      </c>
      <c r="C71" s="78">
        <f>'Table 4 Formula'!C71</f>
        <v>2870</v>
      </c>
      <c r="D71" s="78">
        <f>'Table 4 Formula'!U71</f>
        <v>4125</v>
      </c>
      <c r="E71" s="159">
        <f>'Table 4 Formula'!V71</f>
        <v>3103</v>
      </c>
      <c r="F71" s="77">
        <f>'Table 4 Formula'!W71</f>
        <v>12799875</v>
      </c>
      <c r="G71" s="77">
        <f>'Table 4 Formula'!AA71</f>
        <v>3199868.5018196255</v>
      </c>
      <c r="H71" s="77">
        <f>'Table 4 Formula'!AC71</f>
        <v>9600006.498180375</v>
      </c>
      <c r="I71" s="77">
        <f>'Table 4 Formula'!AF71</f>
        <v>2775415.9981803745</v>
      </c>
      <c r="J71" s="79">
        <f>'Table 4 Formula'!AG71</f>
        <v>0</v>
      </c>
      <c r="K71" s="77">
        <f>'Table 4 Formula'!AI71</f>
        <v>2775415.9981803745</v>
      </c>
      <c r="L71" s="61">
        <f t="shared" si="0"/>
        <v>1</v>
      </c>
      <c r="M71" s="77">
        <f>'Table 4 Formula'!AJ71</f>
        <v>1585987.8256158708</v>
      </c>
      <c r="N71" s="77">
        <f>'Table 4 Formula'!AN71</f>
        <v>11185994.323796246</v>
      </c>
      <c r="O71" s="79">
        <f>'Table 4 Formula'!AU71</f>
        <v>590815.0589</v>
      </c>
      <c r="P71" s="61">
        <f t="shared" si="1"/>
        <v>1</v>
      </c>
      <c r="Q71" s="77">
        <f>'Table 4 Formula'!AV71</f>
        <v>0</v>
      </c>
      <c r="R71" s="61">
        <f t="shared" si="2"/>
        <v>0</v>
      </c>
      <c r="S71" s="77">
        <f>'Table 4 Formula'!BA71</f>
        <v>11185994.33</v>
      </c>
      <c r="T71" s="77">
        <f>'Table 4 Formula'!BB71</f>
        <v>3897.56</v>
      </c>
    </row>
    <row r="72" spans="1:20" ht="12.75">
      <c r="A72" s="60">
        <v>65</v>
      </c>
      <c r="B72" s="61" t="s">
        <v>67</v>
      </c>
      <c r="C72" s="78">
        <f>'Table 4 Formula'!C72</f>
        <v>10208</v>
      </c>
      <c r="D72" s="78">
        <f>'Table 4 Formula'!U72</f>
        <v>14000</v>
      </c>
      <c r="E72" s="159">
        <f>'Table 4 Formula'!V72</f>
        <v>3103</v>
      </c>
      <c r="F72" s="77">
        <f>'Table 4 Formula'!W72</f>
        <v>43442000</v>
      </c>
      <c r="G72" s="77">
        <f>'Table 4 Formula'!AA72</f>
        <v>18105127.50486726</v>
      </c>
      <c r="H72" s="77">
        <f>'Table 4 Formula'!AC72</f>
        <v>25336872.49513274</v>
      </c>
      <c r="I72" s="77">
        <f>'Table 4 Formula'!AF72</f>
        <v>4612664.495132741</v>
      </c>
      <c r="J72" s="79">
        <f>'Table 4 Formula'!AG72</f>
        <v>0</v>
      </c>
      <c r="K72" s="77">
        <f>'Table 4 Formula'!AI72</f>
        <v>4612664.495132741</v>
      </c>
      <c r="L72" s="61">
        <f t="shared" si="0"/>
        <v>1</v>
      </c>
      <c r="M72" s="77">
        <f>'Table 4 Formula'!AJ72</f>
        <v>1317121.6872807634</v>
      </c>
      <c r="N72" s="77">
        <f>'Table 4 Formula'!AN72</f>
        <v>26653994.182413504</v>
      </c>
      <c r="O72" s="79">
        <f>'Table 4 Formula'!AU72</f>
        <v>1838078.4396</v>
      </c>
      <c r="P72" s="61">
        <f t="shared" si="1"/>
        <v>1</v>
      </c>
      <c r="Q72" s="77">
        <f>'Table 4 Formula'!AV72</f>
        <v>0</v>
      </c>
      <c r="R72" s="61">
        <f t="shared" si="2"/>
        <v>0</v>
      </c>
      <c r="S72" s="77">
        <f>'Table 4 Formula'!BA72</f>
        <v>26653994.1642</v>
      </c>
      <c r="T72" s="77">
        <f>'Table 4 Formula'!BB72</f>
        <v>2611.09</v>
      </c>
    </row>
    <row r="73" spans="1:20" ht="12.75">
      <c r="A73" s="60">
        <v>66</v>
      </c>
      <c r="B73" s="61" t="s">
        <v>68</v>
      </c>
      <c r="C73" s="78">
        <f>'Table 4 Formula'!C73</f>
        <v>3076</v>
      </c>
      <c r="D73" s="78">
        <f>'Table 4 Formula'!U73</f>
        <v>4881</v>
      </c>
      <c r="E73" s="159">
        <f>'Table 4 Formula'!V73</f>
        <v>3103</v>
      </c>
      <c r="F73" s="77">
        <f>'Table 4 Formula'!W73</f>
        <v>15145743</v>
      </c>
      <c r="G73" s="77">
        <f>'Table 4 Formula'!AA73</f>
        <v>3392718.7668180587</v>
      </c>
      <c r="H73" s="77">
        <f>'Table 4 Formula'!AC73</f>
        <v>11753024.233181942</v>
      </c>
      <c r="I73" s="77">
        <f>'Table 4 Formula'!AF73</f>
        <v>694952.2331819413</v>
      </c>
      <c r="J73" s="79">
        <f>'Table 4 Formula'!AG73</f>
        <v>0</v>
      </c>
      <c r="K73" s="77">
        <f>'Table 4 Formula'!AI73</f>
        <v>694952.2331819413</v>
      </c>
      <c r="L73" s="61">
        <f>IF(K73&gt;0,1,0)</f>
        <v>1</v>
      </c>
      <c r="M73" s="77">
        <f>'Table 4 Formula'!AJ73</f>
        <v>428085.45523202175</v>
      </c>
      <c r="N73" s="77">
        <f>'Table 4 Formula'!AN73</f>
        <v>12181109.688413965</v>
      </c>
      <c r="O73" s="79">
        <f>'Table 4 Formula'!AU73</f>
        <v>726868.5002</v>
      </c>
      <c r="P73" s="61">
        <f>IF(O73&gt;0,1,0)</f>
        <v>1</v>
      </c>
      <c r="Q73" s="77">
        <f>'Table 4 Formula'!AV73</f>
        <v>0</v>
      </c>
      <c r="R73" s="61">
        <f>IF(Q73&gt;0,1,0)</f>
        <v>0</v>
      </c>
      <c r="S73" s="77">
        <f>'Table 4 Formula'!BA73</f>
        <v>12181109.6782</v>
      </c>
      <c r="T73" s="77">
        <f>'Table 4 Formula'!BB73</f>
        <v>3960.05</v>
      </c>
    </row>
    <row r="74" spans="1:20" ht="12.75">
      <c r="A74" s="55"/>
      <c r="B74" s="56"/>
      <c r="C74" s="56"/>
      <c r="D74" s="57"/>
      <c r="E74" s="161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ht="13.5" thickBot="1">
      <c r="A75" s="71"/>
      <c r="B75" s="283" t="s">
        <v>69</v>
      </c>
      <c r="C75" s="284">
        <f>SUM(C8:C73)</f>
        <v>727255</v>
      </c>
      <c r="D75" s="284">
        <f>SUM(D8:D73)</f>
        <v>981811</v>
      </c>
      <c r="E75" s="285">
        <f>'Table 4 Formula'!V75</f>
        <v>3103</v>
      </c>
      <c r="F75" s="286">
        <f>SUM(F8:F73)</f>
        <v>3046559533</v>
      </c>
      <c r="G75" s="286">
        <f>SUM(G8:G73)</f>
        <v>1066296614.9459608</v>
      </c>
      <c r="H75" s="286">
        <f>SUM(H8:H73)</f>
        <v>1980262918.0540388</v>
      </c>
      <c r="I75" s="286">
        <f>SUM(I8:I73)</f>
        <v>629837106.2745899</v>
      </c>
      <c r="J75" s="287">
        <f>SUM(J8:J73)</f>
        <v>-2126743.7205504775</v>
      </c>
      <c r="K75" s="286">
        <f aca="true" t="shared" si="3" ref="K75:S75">SUM(K8:K73)</f>
        <v>598062738.9851298</v>
      </c>
      <c r="L75" s="283">
        <f t="shared" si="3"/>
        <v>60</v>
      </c>
      <c r="M75" s="286">
        <f t="shared" si="3"/>
        <v>216499626.7742895</v>
      </c>
      <c r="N75" s="286">
        <f t="shared" si="3"/>
        <v>2196762544.828328</v>
      </c>
      <c r="O75" s="286">
        <f t="shared" si="3"/>
        <v>31482164.723499995</v>
      </c>
      <c r="P75" s="283">
        <f t="shared" si="3"/>
        <v>42</v>
      </c>
      <c r="Q75" s="286">
        <f t="shared" si="3"/>
        <v>87856358.52379997</v>
      </c>
      <c r="R75" s="283">
        <f t="shared" si="3"/>
        <v>11</v>
      </c>
      <c r="S75" s="286">
        <f t="shared" si="3"/>
        <v>2284618903.2410994</v>
      </c>
      <c r="T75" s="288">
        <f>'Table 4 Formula'!BB75</f>
        <v>3141.43</v>
      </c>
    </row>
    <row r="76" spans="19:20" ht="13.5" thickTop="1">
      <c r="S76" s="9"/>
      <c r="T76" s="9"/>
    </row>
    <row r="80" ht="12.75">
      <c r="P80" s="9"/>
    </row>
    <row r="81" ht="12.75">
      <c r="P81" s="9"/>
    </row>
    <row r="82" ht="12.75">
      <c r="P82" s="9"/>
    </row>
    <row r="83" ht="12.75">
      <c r="P83" s="9"/>
    </row>
    <row r="84" ht="12.75">
      <c r="P84" s="9"/>
    </row>
    <row r="85" ht="12.75">
      <c r="P85" s="9"/>
    </row>
    <row r="86" ht="12.75">
      <c r="P86" s="9"/>
    </row>
    <row r="87" ht="12.75">
      <c r="P87" s="9"/>
    </row>
    <row r="88" ht="12.75">
      <c r="P88" s="9"/>
    </row>
    <row r="89" ht="12.75">
      <c r="P89" s="9"/>
    </row>
    <row r="90" ht="12.75">
      <c r="P90" s="9"/>
    </row>
    <row r="91" ht="12.75">
      <c r="P91" s="9"/>
    </row>
    <row r="92" ht="12.75">
      <c r="P92" s="9"/>
    </row>
    <row r="93" ht="12.75">
      <c r="P93" s="9"/>
    </row>
    <row r="94" ht="12.75">
      <c r="P94" s="9"/>
    </row>
    <row r="95" ht="12.75">
      <c r="P95" s="9"/>
    </row>
    <row r="96" ht="12.75">
      <c r="P96" s="9"/>
    </row>
    <row r="97" ht="12.75">
      <c r="P97" s="9"/>
    </row>
    <row r="98" ht="12.75">
      <c r="P98" s="9"/>
    </row>
    <row r="99" ht="12.75">
      <c r="P99" s="9"/>
    </row>
    <row r="100" ht="12.75">
      <c r="P100" s="9"/>
    </row>
    <row r="101" ht="12.75">
      <c r="P101" s="9"/>
    </row>
    <row r="102" ht="12.75">
      <c r="P102" s="9"/>
    </row>
    <row r="103" ht="12.75">
      <c r="P103" s="9"/>
    </row>
    <row r="104" ht="12.75">
      <c r="P104" s="9"/>
    </row>
    <row r="105" ht="12.75">
      <c r="P105" s="9"/>
    </row>
    <row r="106" ht="12.75">
      <c r="P106" s="9"/>
    </row>
    <row r="107" ht="12.75">
      <c r="P107" s="9"/>
    </row>
    <row r="108" ht="12.75">
      <c r="P108" s="9"/>
    </row>
    <row r="109" ht="12.75">
      <c r="P109" s="9"/>
    </row>
    <row r="110" ht="12.75">
      <c r="P110" s="9"/>
    </row>
    <row r="111" ht="12.75">
      <c r="P111" s="9"/>
    </row>
    <row r="112" ht="12.75">
      <c r="P112" s="9"/>
    </row>
    <row r="113" ht="12.75">
      <c r="P113" s="9"/>
    </row>
    <row r="114" ht="12.75">
      <c r="P114" s="9"/>
    </row>
    <row r="115" ht="12.75">
      <c r="P115" s="9"/>
    </row>
    <row r="116" ht="12.75">
      <c r="P116" s="9"/>
    </row>
    <row r="117" ht="12.75">
      <c r="P117" s="9"/>
    </row>
    <row r="118" ht="12.75">
      <c r="P118" s="9"/>
    </row>
    <row r="119" ht="12.75">
      <c r="P119" s="9"/>
    </row>
    <row r="120" ht="12.75">
      <c r="P120" s="9"/>
    </row>
    <row r="121" ht="12.75">
      <c r="P121" s="9"/>
    </row>
    <row r="122" ht="12.75">
      <c r="P122" s="9"/>
    </row>
    <row r="123" ht="12.75">
      <c r="P123" s="9"/>
    </row>
    <row r="124" ht="12.75">
      <c r="P124" s="9"/>
    </row>
    <row r="125" ht="12.75">
      <c r="P125" s="9"/>
    </row>
    <row r="126" ht="12.75">
      <c r="P126" s="9"/>
    </row>
    <row r="127" ht="12.75">
      <c r="P127" s="9"/>
    </row>
    <row r="128" ht="12.75">
      <c r="P128" s="9"/>
    </row>
    <row r="129" ht="12.75">
      <c r="P129" s="9"/>
    </row>
    <row r="130" ht="12.75">
      <c r="P130" s="9"/>
    </row>
    <row r="131" ht="12.75">
      <c r="P131" s="9"/>
    </row>
    <row r="132" ht="12.75">
      <c r="P132" s="9"/>
    </row>
    <row r="133" ht="12.75">
      <c r="P133" s="9"/>
    </row>
    <row r="134" ht="12.75">
      <c r="P134" s="9"/>
    </row>
    <row r="135" ht="12.75">
      <c r="P135" s="9"/>
    </row>
    <row r="136" ht="12.75">
      <c r="P136" s="9"/>
    </row>
    <row r="137" ht="12.75">
      <c r="P137" s="9"/>
    </row>
    <row r="138" ht="12.75">
      <c r="P138" s="9"/>
    </row>
    <row r="139" ht="12.75">
      <c r="P139" s="9"/>
    </row>
    <row r="140" ht="12.75">
      <c r="P140" s="9"/>
    </row>
    <row r="141" ht="12.75">
      <c r="P141" s="9"/>
    </row>
    <row r="142" ht="12.75">
      <c r="P142" s="9"/>
    </row>
    <row r="143" ht="12.75">
      <c r="P143" s="9"/>
    </row>
    <row r="144" ht="12.75">
      <c r="P144" s="9"/>
    </row>
    <row r="145" ht="12.75">
      <c r="P145" s="9"/>
    </row>
    <row r="147" ht="12.75">
      <c r="P147" s="9"/>
    </row>
  </sheetData>
  <mergeCells count="3">
    <mergeCell ref="C1:H1"/>
    <mergeCell ref="I1:N1"/>
    <mergeCell ref="O1:T1"/>
  </mergeCells>
  <printOptions/>
  <pageMargins left="0.46" right="0.29" top="0.42" bottom="0.23" header="0.18" footer="0.2"/>
  <pageSetup firstPageNumber="2" useFirstPageNumber="1" horizontalDpi="600" verticalDpi="600" orientation="portrait" paperSize="5" scale="85" r:id="rId1"/>
  <headerFooter alignWithMargins="0">
    <oddHeader>&amp;RCircular 1063</oddHeader>
    <oddFooter>&amp;L&amp;F,&amp;A, Prepared by Division of Education Finance &amp;R&amp;D, Page &amp;P</oddFooter>
  </headerFooter>
  <colBreaks count="2" manualBreakCount="2">
    <brk id="8" max="65535" man="1"/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80"/>
  <sheetViews>
    <sheetView workbookViewId="0" topLeftCell="A4">
      <selection activeCell="G11" sqref="G11"/>
    </sheetView>
  </sheetViews>
  <sheetFormatPr defaultColWidth="12.57421875" defaultRowHeight="12.75"/>
  <cols>
    <col min="1" max="1" width="3.00390625" style="3" customWidth="1"/>
    <col min="2" max="2" width="19.28125" style="3" bestFit="1" customWidth="1"/>
    <col min="3" max="3" width="14.28125" style="3" bestFit="1" customWidth="1"/>
    <col min="4" max="6" width="14.28125" style="3" customWidth="1"/>
    <col min="7" max="7" width="14.140625" style="3" bestFit="1" customWidth="1"/>
    <col min="8" max="8" width="12.140625" style="3" bestFit="1" customWidth="1"/>
    <col min="9" max="9" width="15.421875" style="3" customWidth="1"/>
    <col min="10" max="10" width="15.7109375" style="3" customWidth="1"/>
    <col min="11" max="11" width="15.28125" style="3" bestFit="1" customWidth="1"/>
    <col min="12" max="12" width="15.140625" style="3" customWidth="1"/>
    <col min="13" max="13" width="19.7109375" style="3" bestFit="1" customWidth="1"/>
    <col min="14" max="16" width="19.28125" style="3" customWidth="1"/>
    <col min="17" max="20" width="19.28125" style="3" hidden="1" customWidth="1"/>
    <col min="21" max="21" width="18.8515625" style="3" customWidth="1"/>
    <col min="22" max="22" width="16.8515625" style="3" customWidth="1"/>
    <col min="23" max="23" width="17.140625" style="3" customWidth="1"/>
    <col min="24" max="24" width="20.00390625" style="3" hidden="1" customWidth="1"/>
    <col min="25" max="25" width="16.421875" style="3" hidden="1" customWidth="1"/>
    <col min="26" max="26" width="0.13671875" style="3" hidden="1" customWidth="1"/>
    <col min="27" max="27" width="17.57421875" style="3" hidden="1" customWidth="1"/>
    <col min="28" max="28" width="17.7109375" style="3" hidden="1" customWidth="1"/>
    <col min="29" max="29" width="2.57421875" style="3" hidden="1" customWidth="1"/>
    <col min="30" max="30" width="12.57421875" style="3" customWidth="1"/>
    <col min="31" max="16384" width="12.57421875" style="3" customWidth="1"/>
  </cols>
  <sheetData>
    <row r="1" spans="1:28" s="98" customFormat="1" ht="23.25">
      <c r="A1" s="176"/>
      <c r="B1" s="540"/>
      <c r="C1" s="543" t="s">
        <v>643</v>
      </c>
      <c r="D1" s="543"/>
      <c r="E1" s="543"/>
      <c r="F1" s="543"/>
      <c r="G1" s="543"/>
      <c r="H1" s="543"/>
      <c r="I1" s="543"/>
      <c r="J1" s="335" t="s">
        <v>645</v>
      </c>
      <c r="K1" s="335"/>
      <c r="L1" s="232"/>
      <c r="M1" s="335" t="s">
        <v>675</v>
      </c>
      <c r="N1" s="335"/>
      <c r="O1" s="335"/>
      <c r="P1" s="335"/>
      <c r="Q1" s="546" t="s">
        <v>378</v>
      </c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</row>
    <row r="2" spans="1:29" s="178" customFormat="1" ht="48" customHeight="1">
      <c r="A2" s="177"/>
      <c r="B2" s="541"/>
      <c r="C2" s="544" t="s">
        <v>644</v>
      </c>
      <c r="D2" s="544"/>
      <c r="E2" s="544"/>
      <c r="F2" s="544"/>
      <c r="G2" s="544"/>
      <c r="H2" s="544"/>
      <c r="I2" s="544"/>
      <c r="J2" s="336"/>
      <c r="K2" s="336"/>
      <c r="L2" s="233"/>
      <c r="M2" s="542"/>
      <c r="N2" s="542"/>
      <c r="O2" s="542"/>
      <c r="P2" s="542"/>
      <c r="Q2" s="547" t="s">
        <v>377</v>
      </c>
      <c r="R2" s="547"/>
      <c r="S2" s="547"/>
      <c r="T2" s="547"/>
      <c r="U2" s="577"/>
      <c r="V2" s="577"/>
      <c r="W2" s="577"/>
      <c r="X2" s="577"/>
      <c r="Y2" s="577"/>
      <c r="Z2" s="577"/>
      <c r="AA2" s="577"/>
      <c r="AB2" s="577"/>
      <c r="AC2" s="179"/>
    </row>
    <row r="3" spans="1:29" s="20" customFormat="1" ht="16.5" customHeight="1">
      <c r="A3" s="18"/>
      <c r="C3" s="561"/>
      <c r="D3" s="561"/>
      <c r="E3" s="561"/>
      <c r="F3" s="561"/>
      <c r="G3" s="561"/>
      <c r="H3" s="561"/>
      <c r="I3" s="561"/>
      <c r="J3" s="234"/>
      <c r="K3" s="234"/>
      <c r="L3" s="234"/>
      <c r="M3" s="192"/>
      <c r="N3" s="192"/>
      <c r="O3" s="192"/>
      <c r="P3" s="192"/>
      <c r="Q3" s="192"/>
      <c r="R3" s="192"/>
      <c r="S3" s="192"/>
      <c r="T3" s="192"/>
      <c r="U3" s="561"/>
      <c r="V3" s="561"/>
      <c r="W3" s="561"/>
      <c r="X3" s="561"/>
      <c r="Y3" s="561"/>
      <c r="Z3" s="561"/>
      <c r="AA3" s="561"/>
      <c r="AB3" s="561"/>
      <c r="AC3" s="19"/>
    </row>
    <row r="4" spans="1:36" ht="18.75" customHeight="1">
      <c r="A4" s="14"/>
      <c r="B4" s="14"/>
      <c r="C4" s="14"/>
      <c r="D4" s="14"/>
      <c r="E4" s="14"/>
      <c r="F4" s="14"/>
      <c r="G4" s="14"/>
      <c r="H4" s="14"/>
      <c r="I4" s="14"/>
      <c r="J4" s="171"/>
      <c r="K4" s="171"/>
      <c r="L4" s="373" t="s">
        <v>667</v>
      </c>
      <c r="M4" s="171"/>
      <c r="N4" s="171"/>
      <c r="O4" s="171"/>
      <c r="P4" s="171"/>
      <c r="Q4" s="171"/>
      <c r="R4" s="171"/>
      <c r="S4" s="171"/>
      <c r="T4" s="171"/>
      <c r="U4" s="172"/>
      <c r="V4" s="171"/>
      <c r="W4" s="171"/>
      <c r="X4" s="171" t="s">
        <v>157</v>
      </c>
      <c r="Y4" s="171" t="s">
        <v>158</v>
      </c>
      <c r="Z4" s="171" t="s">
        <v>159</v>
      </c>
      <c r="AA4" s="172"/>
      <c r="AB4" s="173" t="s">
        <v>365</v>
      </c>
      <c r="AC4" s="172"/>
      <c r="AD4" s="172"/>
      <c r="AE4" s="172"/>
      <c r="AF4" s="172"/>
      <c r="AG4" s="172"/>
      <c r="AH4" s="172"/>
      <c r="AI4" s="172"/>
      <c r="AJ4" s="172"/>
    </row>
    <row r="5" spans="1:29" ht="0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44.25" customHeight="1">
      <c r="A6" s="26"/>
      <c r="B6" s="27"/>
      <c r="C6" s="566" t="s">
        <v>387</v>
      </c>
      <c r="D6" s="564" t="s">
        <v>640</v>
      </c>
      <c r="E6" s="564" t="s">
        <v>650</v>
      </c>
      <c r="F6" s="564" t="s">
        <v>651</v>
      </c>
      <c r="G6" s="562" t="s">
        <v>649</v>
      </c>
      <c r="H6" s="563"/>
      <c r="I6" s="564" t="s">
        <v>652</v>
      </c>
      <c r="J6" s="564" t="s">
        <v>501</v>
      </c>
      <c r="K6" s="564" t="s">
        <v>502</v>
      </c>
      <c r="L6" s="568" t="s">
        <v>503</v>
      </c>
      <c r="M6" s="564" t="s">
        <v>653</v>
      </c>
      <c r="N6" s="337"/>
      <c r="O6" s="337"/>
      <c r="P6" s="337"/>
      <c r="Q6" s="190"/>
      <c r="R6" s="190"/>
      <c r="S6" s="190"/>
      <c r="T6" s="220"/>
      <c r="U6" s="570"/>
      <c r="V6" s="570" t="s">
        <v>637</v>
      </c>
      <c r="W6" s="572" t="s">
        <v>638</v>
      </c>
      <c r="X6" s="574" t="s">
        <v>364</v>
      </c>
      <c r="Y6" s="558" t="s">
        <v>240</v>
      </c>
      <c r="Z6" s="560" t="s">
        <v>241</v>
      </c>
      <c r="AA6" s="560" t="s">
        <v>366</v>
      </c>
      <c r="AB6" s="558" t="s">
        <v>363</v>
      </c>
      <c r="AC6" s="558" t="s">
        <v>242</v>
      </c>
    </row>
    <row r="7" spans="1:29" ht="73.5" customHeight="1">
      <c r="A7" s="28"/>
      <c r="B7" s="289" t="s">
        <v>160</v>
      </c>
      <c r="C7" s="567"/>
      <c r="D7" s="565"/>
      <c r="E7" s="576"/>
      <c r="F7" s="576"/>
      <c r="G7" s="348" t="s">
        <v>388</v>
      </c>
      <c r="H7" s="349" t="s">
        <v>161</v>
      </c>
      <c r="I7" s="576"/>
      <c r="J7" s="576"/>
      <c r="K7" s="576"/>
      <c r="L7" s="569"/>
      <c r="M7" s="576"/>
      <c r="N7" s="338" t="s">
        <v>371</v>
      </c>
      <c r="O7" s="338" t="s">
        <v>373</v>
      </c>
      <c r="P7" s="338" t="s">
        <v>372</v>
      </c>
      <c r="Q7" s="193" t="s">
        <v>374</v>
      </c>
      <c r="R7" s="193" t="s">
        <v>375</v>
      </c>
      <c r="S7" s="193" t="s">
        <v>376</v>
      </c>
      <c r="T7" s="221" t="s">
        <v>379</v>
      </c>
      <c r="U7" s="571"/>
      <c r="V7" s="571"/>
      <c r="W7" s="573"/>
      <c r="X7" s="575"/>
      <c r="Y7" s="559"/>
      <c r="Z7" s="559"/>
      <c r="AA7" s="559"/>
      <c r="AB7" s="559"/>
      <c r="AC7" s="559"/>
    </row>
    <row r="8" spans="1:29" ht="14.25" customHeight="1">
      <c r="A8" s="29"/>
      <c r="B8" s="30"/>
      <c r="C8" s="290" t="s">
        <v>162</v>
      </c>
      <c r="D8" s="383" t="s">
        <v>497</v>
      </c>
      <c r="E8" s="383" t="s">
        <v>163</v>
      </c>
      <c r="F8" s="384" t="s">
        <v>164</v>
      </c>
      <c r="G8" s="384" t="s">
        <v>247</v>
      </c>
      <c r="H8" s="384" t="s">
        <v>248</v>
      </c>
      <c r="I8" s="384" t="s">
        <v>166</v>
      </c>
      <c r="J8" s="372" t="s">
        <v>167</v>
      </c>
      <c r="K8" s="372" t="s">
        <v>168</v>
      </c>
      <c r="L8" s="372" t="s">
        <v>169</v>
      </c>
      <c r="M8" s="372" t="s">
        <v>170</v>
      </c>
      <c r="N8" s="372" t="s">
        <v>171</v>
      </c>
      <c r="O8" s="372" t="s">
        <v>668</v>
      </c>
      <c r="P8" s="372" t="s">
        <v>669</v>
      </c>
      <c r="Q8" s="25"/>
      <c r="R8" s="222">
        <f>35808*1.027</f>
        <v>36774.816</v>
      </c>
      <c r="S8" s="222"/>
      <c r="T8" s="223"/>
      <c r="U8" s="210"/>
      <c r="V8" s="211"/>
      <c r="W8" s="212"/>
      <c r="X8" s="205" t="s">
        <v>168</v>
      </c>
      <c r="Y8" s="167" t="s">
        <v>169</v>
      </c>
      <c r="Z8" s="167" t="s">
        <v>170</v>
      </c>
      <c r="AA8" s="168" t="s">
        <v>168</v>
      </c>
      <c r="AB8" s="169" t="s">
        <v>169</v>
      </c>
      <c r="AC8" s="170"/>
    </row>
    <row r="9" spans="1:33" ht="12.75">
      <c r="A9" s="21">
        <v>1</v>
      </c>
      <c r="B9" s="21" t="s">
        <v>173</v>
      </c>
      <c r="C9" s="224">
        <f>'Table 4 Formula'!BA8</f>
        <v>33732365.4317</v>
      </c>
      <c r="D9" s="322">
        <v>-338511.1661305372</v>
      </c>
      <c r="E9" s="224">
        <f>C9+D9</f>
        <v>33393854.26556946</v>
      </c>
      <c r="F9" s="224">
        <f>E9/'Table 4 Formula'!C8</f>
        <v>3403.7156523870613</v>
      </c>
      <c r="G9" s="22">
        <f>'[1]Comparison original &amp; adjusted'!$G6</f>
        <v>194027.07290000096</v>
      </c>
      <c r="H9" s="322">
        <f>'[1]Comparison original &amp; adjusted'!$H6</f>
        <v>0</v>
      </c>
      <c r="I9" s="387">
        <f>E9+G9+H9</f>
        <v>33587881.33846946</v>
      </c>
      <c r="J9" s="41">
        <v>22059340.759604167</v>
      </c>
      <c r="K9" s="41">
        <f>I9-J9</f>
        <v>11528540.578865293</v>
      </c>
      <c r="L9" s="41">
        <f>K9/4</f>
        <v>2882135.1447163234</v>
      </c>
      <c r="M9" s="41">
        <v>32828454.1304</v>
      </c>
      <c r="N9" s="194">
        <f>I9-M9</f>
        <v>759427.2080694623</v>
      </c>
      <c r="O9" s="22">
        <f>IF(N9&gt;0,N9,0)</f>
        <v>759427.2080694623</v>
      </c>
      <c r="P9" s="22">
        <f>IF(N9&lt;0,N9,0)</f>
        <v>0</v>
      </c>
      <c r="Q9" s="22">
        <v>28868</v>
      </c>
      <c r="R9" s="201">
        <f aca="true" t="shared" si="0" ref="R9:R73">IF(Q9&gt;$R$8,0.5,0.75)</f>
        <v>0.75</v>
      </c>
      <c r="S9" s="197">
        <v>722.388571441174</v>
      </c>
      <c r="T9" s="216">
        <f>ROUND(O9*R9/1.142/S9,0)</f>
        <v>690</v>
      </c>
      <c r="U9" s="213"/>
      <c r="V9" s="213">
        <v>2757417.594950521</v>
      </c>
      <c r="W9" s="196">
        <f>V9*8</f>
        <v>22059340.759604167</v>
      </c>
      <c r="X9" s="206">
        <f aca="true" t="shared" si="1" ref="X9:X72">ROUND(U9/8,0)</f>
        <v>0</v>
      </c>
      <c r="Y9" s="22">
        <f aca="true" t="shared" si="2" ref="Y9:Y40">W9-X9</f>
        <v>22059340.759604167</v>
      </c>
      <c r="Z9" s="22" t="e">
        <f>#REF!</f>
        <v>#REF!</v>
      </c>
      <c r="AA9" s="41">
        <v>32993149</v>
      </c>
      <c r="AB9" s="22" t="e">
        <f>#REF!-AA9</f>
        <v>#REF!</v>
      </c>
      <c r="AC9" s="31" t="e">
        <f aca="true" t="shared" si="3" ref="AC9:AC72">AB9/AA9</f>
        <v>#REF!</v>
      </c>
      <c r="AD9" s="15"/>
      <c r="AE9" s="15"/>
      <c r="AF9" s="15"/>
      <c r="AG9" s="15"/>
    </row>
    <row r="10" spans="1:33" ht="12.75">
      <c r="A10" s="21">
        <v>2</v>
      </c>
      <c r="B10" s="21" t="s">
        <v>174</v>
      </c>
      <c r="C10" s="224">
        <f>'Table 4 Formula'!BA9</f>
        <v>16680900.6062</v>
      </c>
      <c r="D10" s="322">
        <v>-167397.20531564215</v>
      </c>
      <c r="E10" s="224">
        <f aca="true" t="shared" si="4" ref="E10:E73">C10+D10</f>
        <v>16513503.400884358</v>
      </c>
      <c r="F10" s="224">
        <f>E10/'Table 4 Formula'!C9</f>
        <v>3878.230014298816</v>
      </c>
      <c r="G10" s="22">
        <f>'[1]Comparison original &amp; adjusted'!$G7</f>
        <v>98907.18579999916</v>
      </c>
      <c r="H10" s="322">
        <f>'[1]Comparison original &amp; adjusted'!$H7</f>
        <v>0</v>
      </c>
      <c r="I10" s="387">
        <f aca="true" t="shared" si="5" ref="I10:I73">E10+G10+H10</f>
        <v>16612410.586684357</v>
      </c>
      <c r="J10" s="41">
        <v>10836451.053481337</v>
      </c>
      <c r="K10" s="41">
        <f aca="true" t="shared" si="6" ref="K10:K73">I10-J10</f>
        <v>5775959.533203021</v>
      </c>
      <c r="L10" s="41">
        <f aca="true" t="shared" si="7" ref="L10:L73">K10/4</f>
        <v>1443989.8833007552</v>
      </c>
      <c r="M10" s="41">
        <v>15867812.9941</v>
      </c>
      <c r="N10" s="194">
        <f aca="true" t="shared" si="8" ref="N10:N73">I10-M10</f>
        <v>744597.5925843567</v>
      </c>
      <c r="O10" s="22">
        <f aca="true" t="shared" si="9" ref="O10:O73">IF(N10&gt;0,N10,0)</f>
        <v>744597.5925843567</v>
      </c>
      <c r="P10" s="22">
        <f aca="true" t="shared" si="10" ref="P10:P73">IF(N10&lt;0,N10,0)</f>
        <v>0</v>
      </c>
      <c r="Q10" s="22">
        <v>28208</v>
      </c>
      <c r="R10" s="201">
        <f t="shared" si="0"/>
        <v>0.75</v>
      </c>
      <c r="S10" s="197">
        <v>326.519999980927</v>
      </c>
      <c r="T10" s="216">
        <f aca="true" t="shared" si="11" ref="T10:T73">ROUND(O10*R10/1.142/S10,0)</f>
        <v>1498</v>
      </c>
      <c r="U10" s="213"/>
      <c r="V10" s="213">
        <v>1354556.381685167</v>
      </c>
      <c r="W10" s="196">
        <f aca="true" t="shared" si="12" ref="W10:W73">V10*8</f>
        <v>10836451.053481337</v>
      </c>
      <c r="X10" s="206">
        <f t="shared" si="1"/>
        <v>0</v>
      </c>
      <c r="Y10" s="22">
        <f t="shared" si="2"/>
        <v>10836451.053481337</v>
      </c>
      <c r="Z10" s="22" t="e">
        <f>#REF!</f>
        <v>#REF!</v>
      </c>
      <c r="AA10" s="41">
        <v>15884978</v>
      </c>
      <c r="AB10" s="22" t="e">
        <f>#REF!-AA10</f>
        <v>#REF!</v>
      </c>
      <c r="AC10" s="32" t="e">
        <f t="shared" si="3"/>
        <v>#REF!</v>
      </c>
      <c r="AD10" s="15"/>
      <c r="AE10" s="15"/>
      <c r="AF10" s="15"/>
      <c r="AG10" s="15"/>
    </row>
    <row r="11" spans="1:33" ht="12.75">
      <c r="A11" s="21">
        <v>3</v>
      </c>
      <c r="B11" s="21" t="s">
        <v>175</v>
      </c>
      <c r="C11" s="224">
        <f>'Table 4 Formula'!BA10</f>
        <v>38574178.0761</v>
      </c>
      <c r="D11" s="322">
        <v>-387084.928648034</v>
      </c>
      <c r="E11" s="224">
        <f t="shared" si="4"/>
        <v>38187093.14745197</v>
      </c>
      <c r="F11" s="224">
        <f>E11/'Table 4 Formula'!C10</f>
        <v>2575.5104301242304</v>
      </c>
      <c r="G11" s="22">
        <f>'[1]Comparison original &amp; adjusted'!$G8</f>
        <v>0</v>
      </c>
      <c r="H11" s="322">
        <f>'[1]Comparison original &amp; adjusted'!$H8</f>
        <v>0</v>
      </c>
      <c r="I11" s="387">
        <f t="shared" si="5"/>
        <v>38187093.14745197</v>
      </c>
      <c r="J11" s="41">
        <v>24330243.09721822</v>
      </c>
      <c r="K11" s="41">
        <f t="shared" si="6"/>
        <v>13856850.050233748</v>
      </c>
      <c r="L11" s="41">
        <f t="shared" si="7"/>
        <v>3464212.512558437</v>
      </c>
      <c r="M11" s="41">
        <v>36497285</v>
      </c>
      <c r="N11" s="194">
        <f t="shared" si="8"/>
        <v>1689808.147451967</v>
      </c>
      <c r="O11" s="22">
        <f t="shared" si="9"/>
        <v>1689808.147451967</v>
      </c>
      <c r="P11" s="22">
        <f t="shared" si="10"/>
        <v>0</v>
      </c>
      <c r="Q11" s="22">
        <v>34661</v>
      </c>
      <c r="R11" s="201">
        <f t="shared" si="0"/>
        <v>0.75</v>
      </c>
      <c r="S11" s="197">
        <v>940.788571476936</v>
      </c>
      <c r="T11" s="216">
        <f t="shared" si="11"/>
        <v>1180</v>
      </c>
      <c r="U11" s="196"/>
      <c r="V11" s="213">
        <v>3041280.3871522774</v>
      </c>
      <c r="W11" s="196">
        <f t="shared" si="12"/>
        <v>24330243.09721822</v>
      </c>
      <c r="X11" s="206">
        <f t="shared" si="1"/>
        <v>0</v>
      </c>
      <c r="Y11" s="22">
        <f t="shared" si="2"/>
        <v>24330243.09721822</v>
      </c>
      <c r="Z11" s="22" t="e">
        <f>#REF!</f>
        <v>#REF!</v>
      </c>
      <c r="AA11" s="41">
        <v>36480137</v>
      </c>
      <c r="AB11" s="22" t="e">
        <f>#REF!-AA11</f>
        <v>#REF!</v>
      </c>
      <c r="AC11" s="32" t="e">
        <f t="shared" si="3"/>
        <v>#REF!</v>
      </c>
      <c r="AD11" s="15"/>
      <c r="AE11" s="15"/>
      <c r="AF11" s="15"/>
      <c r="AG11" s="15"/>
    </row>
    <row r="12" spans="1:33" ht="12.75">
      <c r="A12" s="21">
        <v>4</v>
      </c>
      <c r="B12" s="21" t="s">
        <v>176</v>
      </c>
      <c r="C12" s="224">
        <f>'Table 4 Formula'!BA11</f>
        <v>18193930.6883</v>
      </c>
      <c r="D12" s="322">
        <v>-182581.01758473078</v>
      </c>
      <c r="E12" s="224">
        <f t="shared" si="4"/>
        <v>18011349.67071527</v>
      </c>
      <c r="F12" s="224">
        <f>E12/'Table 4 Formula'!C11</f>
        <v>4085.132608463431</v>
      </c>
      <c r="G12" s="22">
        <f>'[1]Comparison original &amp; adjusted'!$G9</f>
        <v>94102.04399999976</v>
      </c>
      <c r="H12" s="322">
        <f>'[1]Comparison original &amp; adjusted'!$H9</f>
        <v>0</v>
      </c>
      <c r="I12" s="387">
        <f t="shared" si="5"/>
        <v>18105451.71471527</v>
      </c>
      <c r="J12" s="41">
        <v>12192111.138196317</v>
      </c>
      <c r="K12" s="41">
        <f t="shared" si="6"/>
        <v>5913340.576518951</v>
      </c>
      <c r="L12" s="41">
        <f t="shared" si="7"/>
        <v>1478335.1441297377</v>
      </c>
      <c r="M12" s="41">
        <v>18005487.0129</v>
      </c>
      <c r="N12" s="194">
        <f t="shared" si="8"/>
        <v>99964.70181526989</v>
      </c>
      <c r="O12" s="22">
        <f t="shared" si="9"/>
        <v>99964.70181526989</v>
      </c>
      <c r="P12" s="22">
        <f t="shared" si="10"/>
        <v>0</v>
      </c>
      <c r="Q12" s="22">
        <v>31227</v>
      </c>
      <c r="R12" s="201">
        <f t="shared" si="0"/>
        <v>0.75</v>
      </c>
      <c r="S12" s="197">
        <v>319.599999904633</v>
      </c>
      <c r="T12" s="216">
        <f t="shared" si="11"/>
        <v>205</v>
      </c>
      <c r="U12" s="213"/>
      <c r="V12" s="213">
        <v>1524013.8922745397</v>
      </c>
      <c r="W12" s="196">
        <f t="shared" si="12"/>
        <v>12192111.138196317</v>
      </c>
      <c r="X12" s="206">
        <f t="shared" si="1"/>
        <v>0</v>
      </c>
      <c r="Y12" s="22">
        <f t="shared" si="2"/>
        <v>12192111.138196317</v>
      </c>
      <c r="Z12" s="22" t="e">
        <f>#REF!</f>
        <v>#REF!</v>
      </c>
      <c r="AA12" s="41">
        <v>18075364</v>
      </c>
      <c r="AB12" s="22" t="e">
        <f>#REF!-AA12</f>
        <v>#REF!</v>
      </c>
      <c r="AC12" s="32" t="e">
        <f t="shared" si="3"/>
        <v>#REF!</v>
      </c>
      <c r="AD12" s="15"/>
      <c r="AE12" s="15"/>
      <c r="AF12" s="15"/>
      <c r="AG12" s="15"/>
    </row>
    <row r="13" spans="1:33" ht="12.75">
      <c r="A13" s="34">
        <v>5</v>
      </c>
      <c r="B13" s="35" t="s">
        <v>177</v>
      </c>
      <c r="C13" s="225">
        <f>'Table 4 Formula'!BA12</f>
        <v>24120649.6419</v>
      </c>
      <c r="D13" s="323">
        <v>-242053.49837736582</v>
      </c>
      <c r="E13" s="225">
        <f t="shared" si="4"/>
        <v>23878596.143522635</v>
      </c>
      <c r="F13" s="386">
        <f>E13/'Table 4 Formula'!C12</f>
        <v>3462.673454687157</v>
      </c>
      <c r="G13" s="36">
        <f>'[1]Comparison original &amp; adjusted'!$G10</f>
        <v>311180.9587999992</v>
      </c>
      <c r="H13" s="323">
        <f>'[1]Comparison original &amp; adjusted'!$H10</f>
        <v>0</v>
      </c>
      <c r="I13" s="388">
        <f t="shared" si="5"/>
        <v>24189777.102322634</v>
      </c>
      <c r="J13" s="43">
        <v>15511404.602964057</v>
      </c>
      <c r="K13" s="43">
        <f t="shared" si="6"/>
        <v>8678372.499358578</v>
      </c>
      <c r="L13" s="43">
        <f t="shared" si="7"/>
        <v>2169593.1248396444</v>
      </c>
      <c r="M13" s="43">
        <v>23358282.505</v>
      </c>
      <c r="N13" s="195">
        <f t="shared" si="8"/>
        <v>831494.5973226354</v>
      </c>
      <c r="O13" s="36">
        <f t="shared" si="9"/>
        <v>831494.5973226354</v>
      </c>
      <c r="P13" s="36">
        <f t="shared" si="10"/>
        <v>0</v>
      </c>
      <c r="Q13" s="36">
        <v>28774</v>
      </c>
      <c r="R13" s="202">
        <f t="shared" si="0"/>
        <v>0.75</v>
      </c>
      <c r="S13" s="198">
        <v>440.079999685287</v>
      </c>
      <c r="T13" s="217">
        <f t="shared" si="11"/>
        <v>1241</v>
      </c>
      <c r="U13" s="213"/>
      <c r="V13" s="213">
        <v>1938925.575370507</v>
      </c>
      <c r="W13" s="196">
        <f t="shared" si="12"/>
        <v>15511404.602964057</v>
      </c>
      <c r="X13" s="207">
        <f t="shared" si="1"/>
        <v>0</v>
      </c>
      <c r="Y13" s="36">
        <f t="shared" si="2"/>
        <v>15511404.602964057</v>
      </c>
      <c r="Z13" s="36" t="e">
        <f>#REF!</f>
        <v>#REF!</v>
      </c>
      <c r="AA13" s="43">
        <v>24038972</v>
      </c>
      <c r="AB13" s="36" t="e">
        <f>#REF!-AA13</f>
        <v>#REF!</v>
      </c>
      <c r="AC13" s="37" t="e">
        <f t="shared" si="3"/>
        <v>#REF!</v>
      </c>
      <c r="AD13" s="15"/>
      <c r="AE13" s="15"/>
      <c r="AF13" s="15"/>
      <c r="AG13" s="15"/>
    </row>
    <row r="14" spans="1:33" ht="12.75">
      <c r="A14" s="21">
        <v>6</v>
      </c>
      <c r="B14" s="21" t="s">
        <v>178</v>
      </c>
      <c r="C14" s="224">
        <f>'Table 4 Formula'!BA13</f>
        <v>20876621.7916</v>
      </c>
      <c r="D14" s="322">
        <v>-209501.11807736126</v>
      </c>
      <c r="E14" s="224">
        <f t="shared" si="4"/>
        <v>20667120.67352264</v>
      </c>
      <c r="F14" s="224">
        <f>E14/'Table 4 Formula'!C13</f>
        <v>3409.2907742531575</v>
      </c>
      <c r="G14" s="22">
        <f>'[1]Comparison original &amp; adjusted'!$G11</f>
        <v>185071.48900000006</v>
      </c>
      <c r="H14" s="322">
        <f>'[1]Comparison original &amp; adjusted'!$H11</f>
        <v>0</v>
      </c>
      <c r="I14" s="387">
        <f t="shared" si="5"/>
        <v>20852192.16252264</v>
      </c>
      <c r="J14" s="41">
        <v>13325016.755794926</v>
      </c>
      <c r="K14" s="41">
        <f t="shared" si="6"/>
        <v>7527175.406727714</v>
      </c>
      <c r="L14" s="41">
        <f t="shared" si="7"/>
        <v>1881793.8516819286</v>
      </c>
      <c r="M14" s="41">
        <v>19755072.421</v>
      </c>
      <c r="N14" s="194">
        <f t="shared" si="8"/>
        <v>1097119.74152264</v>
      </c>
      <c r="O14" s="22">
        <f t="shared" si="9"/>
        <v>1097119.74152264</v>
      </c>
      <c r="P14" s="22">
        <f t="shared" si="10"/>
        <v>0</v>
      </c>
      <c r="Q14" s="22">
        <v>29509</v>
      </c>
      <c r="R14" s="201">
        <f t="shared" si="0"/>
        <v>0.75</v>
      </c>
      <c r="S14" s="197">
        <v>412.917619228363</v>
      </c>
      <c r="T14" s="216">
        <f t="shared" si="11"/>
        <v>1745</v>
      </c>
      <c r="U14" s="213"/>
      <c r="V14" s="213">
        <v>1665627.0944743657</v>
      </c>
      <c r="W14" s="196">
        <f t="shared" si="12"/>
        <v>13325016.755794926</v>
      </c>
      <c r="X14" s="206">
        <f t="shared" si="1"/>
        <v>0</v>
      </c>
      <c r="Y14" s="22">
        <f t="shared" si="2"/>
        <v>13325016.755794926</v>
      </c>
      <c r="Z14" s="22" t="e">
        <f>#REF!</f>
        <v>#REF!</v>
      </c>
      <c r="AA14" s="41">
        <v>19460575</v>
      </c>
      <c r="AB14" s="22" t="e">
        <f>#REF!-AA14</f>
        <v>#REF!</v>
      </c>
      <c r="AC14" s="32" t="e">
        <f t="shared" si="3"/>
        <v>#REF!</v>
      </c>
      <c r="AD14" s="15"/>
      <c r="AE14" s="15"/>
      <c r="AF14" s="15"/>
      <c r="AG14" s="15"/>
    </row>
    <row r="15" spans="1:33" ht="12.75">
      <c r="A15" s="21">
        <v>7</v>
      </c>
      <c r="B15" s="21" t="s">
        <v>179</v>
      </c>
      <c r="C15" s="224">
        <f>'Table 4 Formula'!BA14</f>
        <v>7835394.3562</v>
      </c>
      <c r="D15" s="322">
        <v>-78632.39420127991</v>
      </c>
      <c r="E15" s="224">
        <f t="shared" si="4"/>
        <v>7756761.961998721</v>
      </c>
      <c r="F15" s="224">
        <f>E15/'Table 4 Formula'!C14</f>
        <v>3068.3393837020258</v>
      </c>
      <c r="G15" s="22">
        <f>'[1]Comparison original &amp; adjusted'!$G12</f>
        <v>0</v>
      </c>
      <c r="H15" s="322">
        <f>'[1]Comparison original &amp; adjusted'!$H12</f>
        <v>-61827.071800000034</v>
      </c>
      <c r="I15" s="387">
        <f t="shared" si="5"/>
        <v>7694934.890198721</v>
      </c>
      <c r="J15" s="41">
        <v>5347070.1697827345</v>
      </c>
      <c r="K15" s="41">
        <f t="shared" si="6"/>
        <v>2347864.720415986</v>
      </c>
      <c r="L15" s="41">
        <f t="shared" si="7"/>
        <v>586966.1801039965</v>
      </c>
      <c r="M15" s="41">
        <v>8013824.0748</v>
      </c>
      <c r="N15" s="194">
        <f t="shared" si="8"/>
        <v>-318889.184601279</v>
      </c>
      <c r="O15" s="22">
        <f t="shared" si="9"/>
        <v>0</v>
      </c>
      <c r="P15" s="22">
        <f t="shared" si="10"/>
        <v>-318889.184601279</v>
      </c>
      <c r="Q15" s="22">
        <v>30926</v>
      </c>
      <c r="R15" s="201">
        <f t="shared" si="0"/>
        <v>0.75</v>
      </c>
      <c r="S15" s="197">
        <v>204</v>
      </c>
      <c r="T15" s="216">
        <f t="shared" si="11"/>
        <v>0</v>
      </c>
      <c r="U15" s="213"/>
      <c r="V15" s="213">
        <v>668383.7712228418</v>
      </c>
      <c r="W15" s="196">
        <f t="shared" si="12"/>
        <v>5347070.1697827345</v>
      </c>
      <c r="X15" s="206">
        <f t="shared" si="1"/>
        <v>0</v>
      </c>
      <c r="Y15" s="22">
        <f t="shared" si="2"/>
        <v>5347070.1697827345</v>
      </c>
      <c r="Z15" s="22" t="e">
        <f>#REF!</f>
        <v>#REF!</v>
      </c>
      <c r="AA15" s="41">
        <v>8562952</v>
      </c>
      <c r="AB15" s="22" t="e">
        <f>#REF!-AA15</f>
        <v>#REF!</v>
      </c>
      <c r="AC15" s="32" t="e">
        <f t="shared" si="3"/>
        <v>#REF!</v>
      </c>
      <c r="AD15" s="15"/>
      <c r="AE15" s="15"/>
      <c r="AF15" s="15"/>
      <c r="AG15" s="15"/>
    </row>
    <row r="16" spans="1:33" ht="12.75">
      <c r="A16" s="21">
        <v>8</v>
      </c>
      <c r="B16" s="21" t="s">
        <v>180</v>
      </c>
      <c r="C16" s="224">
        <f>'Table 4 Formula'!BA15</f>
        <v>56782498.2328</v>
      </c>
      <c r="D16" s="322">
        <v>-569807.5421379878</v>
      </c>
      <c r="E16" s="224">
        <f t="shared" si="4"/>
        <v>56212690.69066201</v>
      </c>
      <c r="F16" s="224">
        <f>E16/'Table 4 Formula'!C15</f>
        <v>3008.4394268483816</v>
      </c>
      <c r="G16" s="22">
        <f>'[1]Comparison original &amp; adjusted'!$G13</f>
        <v>706220.2258999944</v>
      </c>
      <c r="H16" s="322">
        <f>'[1]Comparison original &amp; adjusted'!$H13</f>
        <v>0</v>
      </c>
      <c r="I16" s="387">
        <f t="shared" si="5"/>
        <v>56918910.916562006</v>
      </c>
      <c r="J16" s="41">
        <v>37654169.80084538</v>
      </c>
      <c r="K16" s="41">
        <f t="shared" si="6"/>
        <v>19264741.11571663</v>
      </c>
      <c r="L16" s="41">
        <f t="shared" si="7"/>
        <v>4816185.278929157</v>
      </c>
      <c r="M16" s="41">
        <v>54138064.4539</v>
      </c>
      <c r="N16" s="194">
        <f t="shared" si="8"/>
        <v>2780846.462662004</v>
      </c>
      <c r="O16" s="22">
        <f t="shared" si="9"/>
        <v>2780846.462662004</v>
      </c>
      <c r="P16" s="22">
        <f t="shared" si="10"/>
        <v>0</v>
      </c>
      <c r="Q16" s="22">
        <v>30562</v>
      </c>
      <c r="R16" s="201">
        <f t="shared" si="0"/>
        <v>0.75</v>
      </c>
      <c r="S16" s="197">
        <v>1140</v>
      </c>
      <c r="T16" s="216">
        <f t="shared" si="11"/>
        <v>1602</v>
      </c>
      <c r="U16" s="213"/>
      <c r="V16" s="213">
        <v>4706771.225105672</v>
      </c>
      <c r="W16" s="196">
        <f t="shared" si="12"/>
        <v>37654169.80084538</v>
      </c>
      <c r="X16" s="206">
        <f t="shared" si="1"/>
        <v>0</v>
      </c>
      <c r="Y16" s="22">
        <f t="shared" si="2"/>
        <v>37654169.80084538</v>
      </c>
      <c r="Z16" s="22" t="e">
        <f>#REF!</f>
        <v>#REF!</v>
      </c>
      <c r="AA16" s="41">
        <v>53941780</v>
      </c>
      <c r="AB16" s="22" t="e">
        <f>#REF!-AA16</f>
        <v>#REF!</v>
      </c>
      <c r="AC16" s="32" t="e">
        <f t="shared" si="3"/>
        <v>#REF!</v>
      </c>
      <c r="AD16" s="15"/>
      <c r="AE16" s="15"/>
      <c r="AF16" s="15"/>
      <c r="AG16" s="15"/>
    </row>
    <row r="17" spans="1:33" ht="12.75">
      <c r="A17" s="21">
        <v>9</v>
      </c>
      <c r="B17" s="21" t="s">
        <v>181</v>
      </c>
      <c r="C17" s="224">
        <f>'Table 4 Formula'!BA16</f>
        <v>149955393.0525</v>
      </c>
      <c r="D17" s="322">
        <v>-1504793.2658863077</v>
      </c>
      <c r="E17" s="224">
        <f t="shared" si="4"/>
        <v>148450599.7866137</v>
      </c>
      <c r="F17" s="224">
        <f>E17/'Table 4 Formula'!C16</f>
        <v>3354.13361771874</v>
      </c>
      <c r="G17" s="22">
        <f>'[1]Comparison original &amp; adjusted'!$G14</f>
        <v>1819992.195600003</v>
      </c>
      <c r="H17" s="322">
        <f>'[1]Comparison original &amp; adjusted'!$H14</f>
        <v>0</v>
      </c>
      <c r="I17" s="387">
        <f t="shared" si="5"/>
        <v>150270591.9822137</v>
      </c>
      <c r="J17" s="41">
        <v>98704197.04981406</v>
      </c>
      <c r="K17" s="41">
        <f t="shared" si="6"/>
        <v>51566394.932399645</v>
      </c>
      <c r="L17" s="41">
        <f t="shared" si="7"/>
        <v>12891598.733099911</v>
      </c>
      <c r="M17" s="41">
        <v>146637007.8666</v>
      </c>
      <c r="N17" s="194">
        <f t="shared" si="8"/>
        <v>3633584.115613699</v>
      </c>
      <c r="O17" s="22">
        <f t="shared" si="9"/>
        <v>3633584.115613699</v>
      </c>
      <c r="P17" s="22">
        <f t="shared" si="10"/>
        <v>0</v>
      </c>
      <c r="Q17" s="22">
        <v>35732</v>
      </c>
      <c r="R17" s="201">
        <f t="shared" si="0"/>
        <v>0.75</v>
      </c>
      <c r="S17" s="197">
        <v>2979.58333343267</v>
      </c>
      <c r="T17" s="216">
        <f t="shared" si="11"/>
        <v>801</v>
      </c>
      <c r="U17" s="213"/>
      <c r="V17" s="213">
        <v>12338024.631226758</v>
      </c>
      <c r="W17" s="196">
        <f t="shared" si="12"/>
        <v>98704197.04981406</v>
      </c>
      <c r="X17" s="206">
        <f t="shared" si="1"/>
        <v>0</v>
      </c>
      <c r="Y17" s="22">
        <f t="shared" si="2"/>
        <v>98704197.04981406</v>
      </c>
      <c r="Z17" s="22" t="e">
        <f>#REF!</f>
        <v>#REF!</v>
      </c>
      <c r="AA17" s="41">
        <v>150017772</v>
      </c>
      <c r="AB17" s="22" t="e">
        <f>#REF!-AA17</f>
        <v>#REF!</v>
      </c>
      <c r="AC17" s="32" t="e">
        <f t="shared" si="3"/>
        <v>#REF!</v>
      </c>
      <c r="AD17" s="15"/>
      <c r="AE17" s="15"/>
      <c r="AF17" s="15"/>
      <c r="AG17" s="15"/>
    </row>
    <row r="18" spans="1:33" ht="12.75">
      <c r="A18" s="34">
        <v>10</v>
      </c>
      <c r="B18" s="35" t="s">
        <v>182</v>
      </c>
      <c r="C18" s="225">
        <f>'Table 4 Formula'!BA17</f>
        <v>85308177.3026</v>
      </c>
      <c r="D18" s="323">
        <v>-856052.5037589971</v>
      </c>
      <c r="E18" s="225">
        <f t="shared" si="4"/>
        <v>84452124.798841</v>
      </c>
      <c r="F18" s="386">
        <f>E18/'Table 4 Formula'!C17</f>
        <v>2630.989276888408</v>
      </c>
      <c r="G18" s="36">
        <f>'[1]Comparison original &amp; adjusted'!$G15</f>
        <v>1837624.0908000022</v>
      </c>
      <c r="H18" s="323">
        <f>'[1]Comparison original &amp; adjusted'!$H15</f>
        <v>0</v>
      </c>
      <c r="I18" s="388">
        <f t="shared" si="5"/>
        <v>86289748.889641</v>
      </c>
      <c r="J18" s="43">
        <v>52637901.49167293</v>
      </c>
      <c r="K18" s="43">
        <f t="shared" si="6"/>
        <v>33651847.39796807</v>
      </c>
      <c r="L18" s="43">
        <f t="shared" si="7"/>
        <v>8412961.849492017</v>
      </c>
      <c r="M18" s="43">
        <v>77560157.633</v>
      </c>
      <c r="N18" s="195">
        <f t="shared" si="8"/>
        <v>8729591.256641</v>
      </c>
      <c r="O18" s="36">
        <f t="shared" si="9"/>
        <v>8729591.256641</v>
      </c>
      <c r="P18" s="36">
        <f t="shared" si="10"/>
        <v>0</v>
      </c>
      <c r="Q18" s="36">
        <v>31634</v>
      </c>
      <c r="R18" s="202">
        <f t="shared" si="0"/>
        <v>0.75</v>
      </c>
      <c r="S18" s="198">
        <v>2191.8440476954</v>
      </c>
      <c r="T18" s="217">
        <f t="shared" si="11"/>
        <v>2616</v>
      </c>
      <c r="U18" s="213"/>
      <c r="V18" s="213">
        <v>6579737.686459117</v>
      </c>
      <c r="W18" s="196">
        <f t="shared" si="12"/>
        <v>52637901.49167293</v>
      </c>
      <c r="X18" s="207">
        <f t="shared" si="1"/>
        <v>0</v>
      </c>
      <c r="Y18" s="36">
        <f t="shared" si="2"/>
        <v>52637901.49167293</v>
      </c>
      <c r="Z18" s="36" t="e">
        <f>#REF!</f>
        <v>#REF!</v>
      </c>
      <c r="AA18" s="43">
        <v>80272000</v>
      </c>
      <c r="AB18" s="36" t="e">
        <f>#REF!-AA18</f>
        <v>#REF!</v>
      </c>
      <c r="AC18" s="37" t="e">
        <f t="shared" si="3"/>
        <v>#REF!</v>
      </c>
      <c r="AD18" s="15"/>
      <c r="AE18" s="15"/>
      <c r="AF18" s="15"/>
      <c r="AG18" s="15"/>
    </row>
    <row r="19" spans="1:33" ht="12.75">
      <c r="A19" s="21">
        <v>11</v>
      </c>
      <c r="B19" s="21" t="s">
        <v>183</v>
      </c>
      <c r="C19" s="224">
        <f>'Table 4 Formula'!BA18</f>
        <v>7347191.6395</v>
      </c>
      <c r="D19" s="322">
        <v>-73730.91931976569</v>
      </c>
      <c r="E19" s="224">
        <f t="shared" si="4"/>
        <v>7273460.720180234</v>
      </c>
      <c r="F19" s="224">
        <f>E19/'Table 4 Formula'!C18</f>
        <v>4022.931814258979</v>
      </c>
      <c r="G19" s="22">
        <f>'[1]Comparison original &amp; adjusted'!$G16</f>
        <v>29442.6333999997</v>
      </c>
      <c r="H19" s="322">
        <f>'[1]Comparison original &amp; adjusted'!$H16</f>
        <v>0</v>
      </c>
      <c r="I19" s="387">
        <f t="shared" si="5"/>
        <v>7302903.353580234</v>
      </c>
      <c r="J19" s="41">
        <v>4875325.993716059</v>
      </c>
      <c r="K19" s="41">
        <f t="shared" si="6"/>
        <v>2427577.3598641744</v>
      </c>
      <c r="L19" s="41">
        <f t="shared" si="7"/>
        <v>606894.3399660436</v>
      </c>
      <c r="M19" s="41">
        <v>7246737.0455</v>
      </c>
      <c r="N19" s="194">
        <f t="shared" si="8"/>
        <v>56166.30808023363</v>
      </c>
      <c r="O19" s="22">
        <f t="shared" si="9"/>
        <v>56166.30808023363</v>
      </c>
      <c r="P19" s="22">
        <f t="shared" si="10"/>
        <v>0</v>
      </c>
      <c r="Q19" s="22">
        <v>27505</v>
      </c>
      <c r="R19" s="201">
        <f t="shared" si="0"/>
        <v>0.75</v>
      </c>
      <c r="S19" s="197">
        <v>143</v>
      </c>
      <c r="T19" s="216">
        <f t="shared" si="11"/>
        <v>258</v>
      </c>
      <c r="U19" s="213"/>
      <c r="V19" s="213">
        <v>609415.7492145074</v>
      </c>
      <c r="W19" s="196">
        <f t="shared" si="12"/>
        <v>4875325.993716059</v>
      </c>
      <c r="X19" s="206">
        <f t="shared" si="1"/>
        <v>0</v>
      </c>
      <c r="Y19" s="22">
        <f t="shared" si="2"/>
        <v>4875325.993716059</v>
      </c>
      <c r="Z19" s="22" t="e">
        <f>#REF!</f>
        <v>#REF!</v>
      </c>
      <c r="AA19" s="41">
        <v>7718038</v>
      </c>
      <c r="AB19" s="22" t="e">
        <f>#REF!-AA19</f>
        <v>#REF!</v>
      </c>
      <c r="AC19" s="32" t="e">
        <f t="shared" si="3"/>
        <v>#REF!</v>
      </c>
      <c r="AD19" s="15"/>
      <c r="AE19" s="15"/>
      <c r="AF19" s="15"/>
      <c r="AG19" s="15"/>
    </row>
    <row r="20" spans="1:33" ht="12.75">
      <c r="A20" s="21">
        <v>12</v>
      </c>
      <c r="B20" s="21" t="s">
        <v>184</v>
      </c>
      <c r="C20" s="224">
        <f>'Table 4 Formula'!BA19</f>
        <v>5964491.761</v>
      </c>
      <c r="D20" s="322">
        <v>-59860.56786472427</v>
      </c>
      <c r="E20" s="224">
        <f t="shared" si="4"/>
        <v>5904631.1931352755</v>
      </c>
      <c r="F20" s="224">
        <f>E20/'Table 4 Formula'!C19</f>
        <v>3014.104743815863</v>
      </c>
      <c r="G20" s="22">
        <f>'[1]Comparison original &amp; adjusted'!$G17</f>
        <v>25799.892199999653</v>
      </c>
      <c r="H20" s="322">
        <f>'[1]Comparison original &amp; adjusted'!$H17</f>
        <v>0</v>
      </c>
      <c r="I20" s="387">
        <f t="shared" si="5"/>
        <v>5930431.085335275</v>
      </c>
      <c r="J20" s="41">
        <v>3711496.1270110696</v>
      </c>
      <c r="K20" s="41">
        <f t="shared" si="6"/>
        <v>2218934.9583242056</v>
      </c>
      <c r="L20" s="41">
        <f t="shared" si="7"/>
        <v>554733.7395810514</v>
      </c>
      <c r="M20" s="41">
        <v>5431541.9506</v>
      </c>
      <c r="N20" s="194">
        <f t="shared" si="8"/>
        <v>498889.13473527506</v>
      </c>
      <c r="O20" s="22">
        <f t="shared" si="9"/>
        <v>498889.13473527506</v>
      </c>
      <c r="P20" s="22">
        <f t="shared" si="10"/>
        <v>0</v>
      </c>
      <c r="Q20" s="22">
        <v>33089</v>
      </c>
      <c r="R20" s="201">
        <f t="shared" si="0"/>
        <v>0.75</v>
      </c>
      <c r="S20" s="197">
        <v>146</v>
      </c>
      <c r="T20" s="216">
        <f t="shared" si="11"/>
        <v>2244</v>
      </c>
      <c r="U20" s="213"/>
      <c r="V20" s="213">
        <v>463937.0158763837</v>
      </c>
      <c r="W20" s="196">
        <f t="shared" si="12"/>
        <v>3711496.1270110696</v>
      </c>
      <c r="X20" s="206">
        <f t="shared" si="1"/>
        <v>0</v>
      </c>
      <c r="Y20" s="22">
        <f t="shared" si="2"/>
        <v>3711496.1270110696</v>
      </c>
      <c r="Z20" s="22" t="e">
        <f>#REF!</f>
        <v>#REF!</v>
      </c>
      <c r="AA20" s="41">
        <v>5186296</v>
      </c>
      <c r="AB20" s="22" t="e">
        <f>#REF!-AA20</f>
        <v>#REF!</v>
      </c>
      <c r="AC20" s="32" t="e">
        <f t="shared" si="3"/>
        <v>#REF!</v>
      </c>
      <c r="AD20" s="15"/>
      <c r="AE20" s="15"/>
      <c r="AF20" s="15"/>
      <c r="AG20" s="15"/>
    </row>
    <row r="21" spans="1:33" ht="12.75">
      <c r="A21" s="21">
        <v>13</v>
      </c>
      <c r="B21" s="21" t="s">
        <v>185</v>
      </c>
      <c r="C21" s="224">
        <f>'Table 4 Formula'!BA20</f>
        <v>7505008.1771</v>
      </c>
      <c r="D21" s="322">
        <v>-75314.27029472291</v>
      </c>
      <c r="E21" s="224">
        <f t="shared" si="4"/>
        <v>7429693.906805277</v>
      </c>
      <c r="F21" s="224">
        <f>E21/'Table 4 Formula'!C20</f>
        <v>3937.3046670934164</v>
      </c>
      <c r="G21" s="22">
        <f>'[1]Comparison original &amp; adjusted'!$G18</f>
        <v>40449.15130000003</v>
      </c>
      <c r="H21" s="322">
        <f>'[1]Comparison original &amp; adjusted'!$H18</f>
        <v>0</v>
      </c>
      <c r="I21" s="387">
        <f t="shared" si="5"/>
        <v>7470143.058105277</v>
      </c>
      <c r="J21" s="41">
        <v>4843070.325996222</v>
      </c>
      <c r="K21" s="41">
        <f t="shared" si="6"/>
        <v>2627072.732109055</v>
      </c>
      <c r="L21" s="41">
        <f t="shared" si="7"/>
        <v>656768.1830272637</v>
      </c>
      <c r="M21" s="41">
        <v>7398116.2461</v>
      </c>
      <c r="N21" s="194">
        <f t="shared" si="8"/>
        <v>72026.81200527679</v>
      </c>
      <c r="O21" s="22">
        <f t="shared" si="9"/>
        <v>72026.81200527679</v>
      </c>
      <c r="P21" s="22">
        <f t="shared" si="10"/>
        <v>0</v>
      </c>
      <c r="Q21" s="22">
        <v>25720</v>
      </c>
      <c r="R21" s="201">
        <f t="shared" si="0"/>
        <v>0.75</v>
      </c>
      <c r="S21" s="197">
        <v>154</v>
      </c>
      <c r="T21" s="216">
        <f t="shared" si="11"/>
        <v>307</v>
      </c>
      <c r="U21" s="213"/>
      <c r="V21" s="213">
        <v>605383.7907495277</v>
      </c>
      <c r="W21" s="196">
        <f t="shared" si="12"/>
        <v>4843070.325996222</v>
      </c>
      <c r="X21" s="206">
        <f t="shared" si="1"/>
        <v>0</v>
      </c>
      <c r="Y21" s="22">
        <f t="shared" si="2"/>
        <v>4843070.325996222</v>
      </c>
      <c r="Z21" s="22" t="e">
        <f>#REF!</f>
        <v>#REF!</v>
      </c>
      <c r="AA21" s="41">
        <v>7701791</v>
      </c>
      <c r="AB21" s="22" t="e">
        <f>#REF!-AA21</f>
        <v>#REF!</v>
      </c>
      <c r="AC21" s="32" t="e">
        <f t="shared" si="3"/>
        <v>#REF!</v>
      </c>
      <c r="AD21" s="15"/>
      <c r="AE21" s="15"/>
      <c r="AF21" s="15"/>
      <c r="AG21" s="15"/>
    </row>
    <row r="22" spans="1:33" ht="12.75">
      <c r="A22" s="21">
        <v>14</v>
      </c>
      <c r="B22" s="21" t="s">
        <v>186</v>
      </c>
      <c r="C22" s="224">
        <f>'Table 4 Formula'!BA21</f>
        <v>10861432.3107</v>
      </c>
      <c r="D22" s="322">
        <v>-108998.12756902205</v>
      </c>
      <c r="E22" s="224">
        <f t="shared" si="4"/>
        <v>10752434.183130978</v>
      </c>
      <c r="F22" s="224">
        <f>E22/'Table 4 Formula'!C21</f>
        <v>3890.1715568491236</v>
      </c>
      <c r="G22" s="22">
        <f>'[1]Comparison original &amp; adjusted'!$G19</f>
        <v>56144.591299999505</v>
      </c>
      <c r="H22" s="322">
        <f>'[1]Comparison original &amp; adjusted'!$H19</f>
        <v>0</v>
      </c>
      <c r="I22" s="387">
        <f t="shared" si="5"/>
        <v>10808578.774430977</v>
      </c>
      <c r="J22" s="41">
        <v>6972845.835941825</v>
      </c>
      <c r="K22" s="41">
        <f t="shared" si="6"/>
        <v>3835732.938489152</v>
      </c>
      <c r="L22" s="41">
        <f t="shared" si="7"/>
        <v>958933.234622288</v>
      </c>
      <c r="M22" s="41">
        <v>10330483.445</v>
      </c>
      <c r="N22" s="194">
        <f t="shared" si="8"/>
        <v>478095.3294309769</v>
      </c>
      <c r="O22" s="22">
        <f t="shared" si="9"/>
        <v>478095.3294309769</v>
      </c>
      <c r="P22" s="22">
        <f t="shared" si="10"/>
        <v>0</v>
      </c>
      <c r="Q22" s="22">
        <v>28838</v>
      </c>
      <c r="R22" s="201">
        <f t="shared" si="0"/>
        <v>0.75</v>
      </c>
      <c r="S22" s="197">
        <v>209</v>
      </c>
      <c r="T22" s="216">
        <f t="shared" si="11"/>
        <v>1502</v>
      </c>
      <c r="U22" s="213"/>
      <c r="V22" s="213">
        <v>871605.7294927281</v>
      </c>
      <c r="W22" s="196">
        <f t="shared" si="12"/>
        <v>6972845.835941825</v>
      </c>
      <c r="X22" s="206">
        <f t="shared" si="1"/>
        <v>0</v>
      </c>
      <c r="Y22" s="22">
        <f t="shared" si="2"/>
        <v>6972845.835941825</v>
      </c>
      <c r="Z22" s="22" t="e">
        <f>#REF!</f>
        <v>#REF!</v>
      </c>
      <c r="AA22" s="41">
        <v>10115890</v>
      </c>
      <c r="AB22" s="22" t="e">
        <f>#REF!-AA22</f>
        <v>#REF!</v>
      </c>
      <c r="AC22" s="32" t="e">
        <f t="shared" si="3"/>
        <v>#REF!</v>
      </c>
      <c r="AD22" s="15"/>
      <c r="AE22" s="15"/>
      <c r="AF22" s="15"/>
      <c r="AG22" s="15"/>
    </row>
    <row r="23" spans="1:33" ht="12.75">
      <c r="A23" s="34">
        <v>15</v>
      </c>
      <c r="B23" s="35" t="s">
        <v>187</v>
      </c>
      <c r="C23" s="225">
        <f>'Table 4 Formula'!BA22</f>
        <v>13437566.84</v>
      </c>
      <c r="D23" s="323">
        <v>-134074.62997920247</v>
      </c>
      <c r="E23" s="225">
        <f t="shared" si="4"/>
        <v>13303492.210020797</v>
      </c>
      <c r="F23" s="386">
        <f>E23/'Table 4 Formula'!C22</f>
        <v>3489.898271254144</v>
      </c>
      <c r="G23" s="36">
        <f>'[1]Comparison original &amp; adjusted'!$G20</f>
        <v>86999.77600000054</v>
      </c>
      <c r="H23" s="323">
        <f>'[1]Comparison original &amp; adjusted'!$H20</f>
        <v>0</v>
      </c>
      <c r="I23" s="388">
        <f t="shared" si="5"/>
        <v>13390491.986020798</v>
      </c>
      <c r="J23" s="43">
        <v>9139796.542823745</v>
      </c>
      <c r="K23" s="43">
        <f t="shared" si="6"/>
        <v>4250695.443197053</v>
      </c>
      <c r="L23" s="43">
        <f t="shared" si="7"/>
        <v>1062673.8607992632</v>
      </c>
      <c r="M23" s="43">
        <v>13674093.8916</v>
      </c>
      <c r="N23" s="195">
        <f t="shared" si="8"/>
        <v>-283601.9055792019</v>
      </c>
      <c r="O23" s="36">
        <f t="shared" si="9"/>
        <v>0</v>
      </c>
      <c r="P23" s="36">
        <f t="shared" si="10"/>
        <v>-283601.9055792019</v>
      </c>
      <c r="Q23" s="36">
        <v>29476</v>
      </c>
      <c r="R23" s="202">
        <f t="shared" si="0"/>
        <v>0.75</v>
      </c>
      <c r="S23" s="198">
        <v>271.273333288729</v>
      </c>
      <c r="T23" s="217">
        <f t="shared" si="11"/>
        <v>0</v>
      </c>
      <c r="U23" s="213"/>
      <c r="V23" s="213">
        <v>1142474.5678529681</v>
      </c>
      <c r="W23" s="196">
        <f t="shared" si="12"/>
        <v>9139796.542823745</v>
      </c>
      <c r="X23" s="207">
        <f t="shared" si="1"/>
        <v>0</v>
      </c>
      <c r="Y23" s="36">
        <f t="shared" si="2"/>
        <v>9139796.542823745</v>
      </c>
      <c r="Z23" s="36" t="e">
        <f>#REF!</f>
        <v>#REF!</v>
      </c>
      <c r="AA23" s="43">
        <v>14335444</v>
      </c>
      <c r="AB23" s="36" t="e">
        <f>#REF!-AA23</f>
        <v>#REF!</v>
      </c>
      <c r="AC23" s="37" t="e">
        <f t="shared" si="3"/>
        <v>#REF!</v>
      </c>
      <c r="AD23" s="15"/>
      <c r="AE23" s="15"/>
      <c r="AF23" s="15"/>
      <c r="AG23" s="15"/>
    </row>
    <row r="24" spans="1:33" ht="12.75">
      <c r="A24" s="21">
        <v>16</v>
      </c>
      <c r="B24" s="21" t="s">
        <v>188</v>
      </c>
      <c r="C24" s="224">
        <f>'Table 4 Formula'!BA23</f>
        <v>17436893.2608</v>
      </c>
      <c r="D24" s="322">
        <v>-174986.20804538502</v>
      </c>
      <c r="E24" s="224">
        <f t="shared" si="4"/>
        <v>17261907.052754615</v>
      </c>
      <c r="F24" s="224">
        <f>E24/'Table 4 Formula'!C23</f>
        <v>3457.9140730678314</v>
      </c>
      <c r="G24" s="22">
        <f>'[1]Comparison original &amp; adjusted'!$G21</f>
        <v>183540.1458999999</v>
      </c>
      <c r="H24" s="322">
        <f>'[1]Comparison original &amp; adjusted'!$H21</f>
        <v>0</v>
      </c>
      <c r="I24" s="387">
        <f t="shared" si="5"/>
        <v>17445447.198654614</v>
      </c>
      <c r="J24" s="41">
        <v>10821184.18338438</v>
      </c>
      <c r="K24" s="41">
        <f t="shared" si="6"/>
        <v>6624263.015270235</v>
      </c>
      <c r="L24" s="41">
        <f t="shared" si="7"/>
        <v>1656065.7538175588</v>
      </c>
      <c r="M24" s="41">
        <v>15845699.8948</v>
      </c>
      <c r="N24" s="194">
        <f t="shared" si="8"/>
        <v>1599747.3038546145</v>
      </c>
      <c r="O24" s="22">
        <f t="shared" si="9"/>
        <v>1599747.3038546145</v>
      </c>
      <c r="P24" s="22">
        <f t="shared" si="10"/>
        <v>0</v>
      </c>
      <c r="Q24" s="22">
        <v>30581</v>
      </c>
      <c r="R24" s="201">
        <f t="shared" si="0"/>
        <v>0.75</v>
      </c>
      <c r="S24" s="197">
        <v>367.666666686535</v>
      </c>
      <c r="T24" s="216">
        <f t="shared" si="11"/>
        <v>2858</v>
      </c>
      <c r="U24" s="213"/>
      <c r="V24" s="213">
        <v>1352648.0229230474</v>
      </c>
      <c r="W24" s="196">
        <f t="shared" si="12"/>
        <v>10821184.18338438</v>
      </c>
      <c r="X24" s="206">
        <f t="shared" si="1"/>
        <v>0</v>
      </c>
      <c r="Y24" s="22">
        <f t="shared" si="2"/>
        <v>10821184.18338438</v>
      </c>
      <c r="Z24" s="22" t="e">
        <f>#REF!</f>
        <v>#REF!</v>
      </c>
      <c r="AA24" s="41">
        <v>15922083</v>
      </c>
      <c r="AB24" s="22" t="e">
        <f>#REF!-AA24</f>
        <v>#REF!</v>
      </c>
      <c r="AC24" s="32" t="e">
        <f t="shared" si="3"/>
        <v>#REF!</v>
      </c>
      <c r="AD24" s="15"/>
      <c r="AE24" s="15"/>
      <c r="AF24" s="15"/>
      <c r="AG24" s="15"/>
    </row>
    <row r="25" spans="1:33" ht="12.75">
      <c r="A25" s="21">
        <v>17</v>
      </c>
      <c r="B25" s="21" t="s">
        <v>189</v>
      </c>
      <c r="C25" s="224">
        <f>'Table 4 Formula'!BA24</f>
        <v>136584124.6</v>
      </c>
      <c r="D25" s="322">
        <v>-1370674.7593981472</v>
      </c>
      <c r="E25" s="224">
        <f t="shared" si="4"/>
        <v>135213449.84060186</v>
      </c>
      <c r="F25" s="224">
        <f>E25/'Table 4 Formula'!C24</f>
        <v>2542.1796239866485</v>
      </c>
      <c r="G25" s="22">
        <f>'[1]Comparison original &amp; adjusted'!$G22</f>
        <v>0</v>
      </c>
      <c r="H25" s="322">
        <f>'[1]Comparison original &amp; adjusted'!$H22</f>
        <v>-408304.0500000119</v>
      </c>
      <c r="I25" s="387">
        <f t="shared" si="5"/>
        <v>134805145.79060185</v>
      </c>
      <c r="J25" s="41">
        <v>90533508.00186904</v>
      </c>
      <c r="K25" s="41">
        <f t="shared" si="6"/>
        <v>44271637.78873281</v>
      </c>
      <c r="L25" s="41">
        <f t="shared" si="7"/>
        <v>11067909.447183203</v>
      </c>
      <c r="M25" s="41">
        <v>138394114.1</v>
      </c>
      <c r="N25" s="194">
        <f t="shared" si="8"/>
        <v>-3588968.3093981445</v>
      </c>
      <c r="O25" s="22">
        <f t="shared" si="9"/>
        <v>0</v>
      </c>
      <c r="P25" s="22">
        <f t="shared" si="10"/>
        <v>-3588968.3093981445</v>
      </c>
      <c r="Q25" s="22">
        <v>33181</v>
      </c>
      <c r="R25" s="201">
        <f t="shared" si="0"/>
        <v>0.75</v>
      </c>
      <c r="S25" s="197">
        <v>3774</v>
      </c>
      <c r="T25" s="216">
        <f t="shared" si="11"/>
        <v>0</v>
      </c>
      <c r="U25" s="213"/>
      <c r="V25" s="213">
        <v>11316688.50023363</v>
      </c>
      <c r="W25" s="196">
        <f t="shared" si="12"/>
        <v>90533508.00186904</v>
      </c>
      <c r="X25" s="206">
        <f t="shared" si="1"/>
        <v>0</v>
      </c>
      <c r="Y25" s="22">
        <f t="shared" si="2"/>
        <v>90533508.00186904</v>
      </c>
      <c r="Z25" s="22" t="e">
        <f>#REF!</f>
        <v>#REF!</v>
      </c>
      <c r="AA25" s="41">
        <v>140360224</v>
      </c>
      <c r="AB25" s="22" t="e">
        <f>#REF!-AA25</f>
        <v>#REF!</v>
      </c>
      <c r="AC25" s="32" t="e">
        <f t="shared" si="3"/>
        <v>#REF!</v>
      </c>
      <c r="AD25" s="15"/>
      <c r="AE25" s="15"/>
      <c r="AF25" s="15"/>
      <c r="AG25" s="15"/>
    </row>
    <row r="26" spans="1:33" ht="12.75">
      <c r="A26" s="21">
        <v>18</v>
      </c>
      <c r="B26" s="21" t="s">
        <v>190</v>
      </c>
      <c r="C26" s="224">
        <f>'Table 4 Formula'!BA25</f>
        <v>7363101.4573</v>
      </c>
      <c r="D26" s="322">
        <v>-73891.19751792068</v>
      </c>
      <c r="E26" s="224">
        <f t="shared" si="4"/>
        <v>7289210.25978208</v>
      </c>
      <c r="F26" s="224">
        <f>E26/'Table 4 Formula'!C25</f>
        <v>4033.873967782003</v>
      </c>
      <c r="G26" s="22">
        <f>'[1]Comparison original &amp; adjusted'!$G23</f>
        <v>25282.71199999936</v>
      </c>
      <c r="H26" s="322">
        <f>'[1]Comparison original &amp; adjusted'!$H23</f>
        <v>0</v>
      </c>
      <c r="I26" s="387">
        <f t="shared" si="5"/>
        <v>7314492.971782079</v>
      </c>
      <c r="J26" s="41">
        <v>4833990.35683527</v>
      </c>
      <c r="K26" s="41">
        <f t="shared" si="6"/>
        <v>2480502.6149468087</v>
      </c>
      <c r="L26" s="41">
        <f t="shared" si="7"/>
        <v>620125.6537367022</v>
      </c>
      <c r="M26" s="41">
        <v>7112245.3074</v>
      </c>
      <c r="N26" s="194">
        <f t="shared" si="8"/>
        <v>202247.66438207868</v>
      </c>
      <c r="O26" s="22">
        <f t="shared" si="9"/>
        <v>202247.66438207868</v>
      </c>
      <c r="P26" s="22">
        <f t="shared" si="10"/>
        <v>0</v>
      </c>
      <c r="Q26" s="22">
        <v>28042</v>
      </c>
      <c r="R26" s="201">
        <f t="shared" si="0"/>
        <v>0.75</v>
      </c>
      <c r="S26" s="197">
        <v>130</v>
      </c>
      <c r="T26" s="216">
        <f t="shared" si="11"/>
        <v>1022</v>
      </c>
      <c r="U26" s="213"/>
      <c r="V26" s="213">
        <v>604248.7946044088</v>
      </c>
      <c r="W26" s="196">
        <f t="shared" si="12"/>
        <v>4833990.35683527</v>
      </c>
      <c r="X26" s="206">
        <f t="shared" si="1"/>
        <v>0</v>
      </c>
      <c r="Y26" s="22">
        <f t="shared" si="2"/>
        <v>4833990.35683527</v>
      </c>
      <c r="Z26" s="22" t="e">
        <f>#REF!</f>
        <v>#REF!</v>
      </c>
      <c r="AA26" s="41">
        <v>7096358</v>
      </c>
      <c r="AB26" s="22" t="e">
        <f>#REF!-AA26</f>
        <v>#REF!</v>
      </c>
      <c r="AC26" s="32" t="e">
        <f t="shared" si="3"/>
        <v>#REF!</v>
      </c>
      <c r="AD26" s="15"/>
      <c r="AE26" s="15"/>
      <c r="AF26" s="15"/>
      <c r="AG26" s="15"/>
    </row>
    <row r="27" spans="1:33" ht="12.75">
      <c r="A27" s="21">
        <v>19</v>
      </c>
      <c r="B27" s="21" t="s">
        <v>191</v>
      </c>
      <c r="C27" s="224">
        <f>'Table 4 Formula'!BA26</f>
        <v>10080298.5766</v>
      </c>
      <c r="D27" s="322">
        <v>-101158.92175093059</v>
      </c>
      <c r="E27" s="224">
        <f t="shared" si="4"/>
        <v>9979139.65484907</v>
      </c>
      <c r="F27" s="224">
        <f>E27/'Table 4 Formula'!C26</f>
        <v>3947.444483721942</v>
      </c>
      <c r="G27" s="22">
        <f>'[1]Comparison original &amp; adjusted'!$G24</f>
        <v>53007.01699999906</v>
      </c>
      <c r="H27" s="322">
        <f>'[1]Comparison original &amp; adjusted'!$H24</f>
        <v>0</v>
      </c>
      <c r="I27" s="387">
        <f t="shared" si="5"/>
        <v>10032146.671849068</v>
      </c>
      <c r="J27" s="41">
        <v>6758111.700360266</v>
      </c>
      <c r="K27" s="41">
        <f t="shared" si="6"/>
        <v>3274034.9714888027</v>
      </c>
      <c r="L27" s="41">
        <f t="shared" si="7"/>
        <v>818508.7428722007</v>
      </c>
      <c r="M27" s="41">
        <v>10178711.652</v>
      </c>
      <c r="N27" s="194">
        <f t="shared" si="8"/>
        <v>-146564.98015093245</v>
      </c>
      <c r="O27" s="22">
        <f t="shared" si="9"/>
        <v>0</v>
      </c>
      <c r="P27" s="22">
        <f t="shared" si="10"/>
        <v>-146564.98015093245</v>
      </c>
      <c r="Q27" s="22">
        <v>27211</v>
      </c>
      <c r="R27" s="201">
        <f t="shared" si="0"/>
        <v>0.75</v>
      </c>
      <c r="S27" s="197">
        <v>193.769523829222</v>
      </c>
      <c r="T27" s="216">
        <f t="shared" si="11"/>
        <v>0</v>
      </c>
      <c r="U27" s="213"/>
      <c r="V27" s="213">
        <v>844763.9625450332</v>
      </c>
      <c r="W27" s="196">
        <f t="shared" si="12"/>
        <v>6758111.700360266</v>
      </c>
      <c r="X27" s="206">
        <f t="shared" si="1"/>
        <v>0</v>
      </c>
      <c r="Y27" s="22">
        <f t="shared" si="2"/>
        <v>6758111.700360266</v>
      </c>
      <c r="Z27" s="22" t="e">
        <f>#REF!</f>
        <v>#REF!</v>
      </c>
      <c r="AA27" s="41">
        <v>10650934</v>
      </c>
      <c r="AB27" s="22" t="e">
        <f>#REF!-AA27</f>
        <v>#REF!</v>
      </c>
      <c r="AC27" s="32" t="e">
        <f t="shared" si="3"/>
        <v>#REF!</v>
      </c>
      <c r="AD27" s="15"/>
      <c r="AE27" s="15"/>
      <c r="AF27" s="15"/>
      <c r="AG27" s="15"/>
    </row>
    <row r="28" spans="1:33" ht="12.75">
      <c r="A28" s="34">
        <v>20</v>
      </c>
      <c r="B28" s="35" t="s">
        <v>192</v>
      </c>
      <c r="C28" s="225">
        <f>'Table 4 Formula'!BA27</f>
        <v>21494602.799999997</v>
      </c>
      <c r="D28" s="323">
        <v>-214535.57743786657</v>
      </c>
      <c r="E28" s="225">
        <f t="shared" si="4"/>
        <v>21280067.22256213</v>
      </c>
      <c r="F28" s="386">
        <f>E28/'Table 4 Formula'!C27</f>
        <v>3397.2010253132394</v>
      </c>
      <c r="G28" s="36">
        <f>'[1]Comparison original &amp; adjusted'!$G25</f>
        <v>129978.81259999797</v>
      </c>
      <c r="H28" s="323">
        <f>'[1]Comparison original &amp; adjusted'!$H25</f>
        <v>0</v>
      </c>
      <c r="I28" s="388">
        <f t="shared" si="5"/>
        <v>21410046.03516213</v>
      </c>
      <c r="J28" s="43">
        <v>14307541.05096062</v>
      </c>
      <c r="K28" s="43">
        <f t="shared" si="6"/>
        <v>7102504.984201508</v>
      </c>
      <c r="L28" s="43">
        <f t="shared" si="7"/>
        <v>1775626.246050377</v>
      </c>
      <c r="M28" s="43">
        <v>21435439.6112</v>
      </c>
      <c r="N28" s="195">
        <f t="shared" si="8"/>
        <v>-25393.576037872583</v>
      </c>
      <c r="O28" s="36">
        <f t="shared" si="9"/>
        <v>0</v>
      </c>
      <c r="P28" s="36">
        <f t="shared" si="10"/>
        <v>-25393.576037872583</v>
      </c>
      <c r="Q28" s="36">
        <v>28314</v>
      </c>
      <c r="R28" s="202">
        <f t="shared" si="0"/>
        <v>0.75</v>
      </c>
      <c r="S28" s="198">
        <v>429</v>
      </c>
      <c r="T28" s="217">
        <f t="shared" si="11"/>
        <v>0</v>
      </c>
      <c r="U28" s="213"/>
      <c r="V28" s="213">
        <v>1788442.6313700776</v>
      </c>
      <c r="W28" s="196">
        <f t="shared" si="12"/>
        <v>14307541.05096062</v>
      </c>
      <c r="X28" s="207">
        <f t="shared" si="1"/>
        <v>0</v>
      </c>
      <c r="Y28" s="36">
        <f t="shared" si="2"/>
        <v>14307541.05096062</v>
      </c>
      <c r="Z28" s="36" t="e">
        <f>#REF!</f>
        <v>#REF!</v>
      </c>
      <c r="AA28" s="43">
        <v>22445760</v>
      </c>
      <c r="AB28" s="36" t="e">
        <f>#REF!-AA28</f>
        <v>#REF!</v>
      </c>
      <c r="AC28" s="37" t="e">
        <f t="shared" si="3"/>
        <v>#REF!</v>
      </c>
      <c r="AD28" s="15"/>
      <c r="AE28" s="15"/>
      <c r="AF28" s="15"/>
      <c r="AG28" s="15"/>
    </row>
    <row r="29" spans="1:33" ht="12.75">
      <c r="A29" s="21">
        <v>21</v>
      </c>
      <c r="B29" s="21" t="s">
        <v>193</v>
      </c>
      <c r="C29" s="224">
        <f>'Table 4 Formula'!BA28</f>
        <v>13843595.3542</v>
      </c>
      <c r="D29" s="322">
        <v>-138923.31126428847</v>
      </c>
      <c r="E29" s="224">
        <f t="shared" si="4"/>
        <v>13704672.042935712</v>
      </c>
      <c r="F29" s="224">
        <f>E29/'Table 4 Formula'!C28</f>
        <v>3580.1128638808027</v>
      </c>
      <c r="G29" s="22">
        <f>'[1]Comparison original &amp; adjusted'!$G26</f>
        <v>64857.50020000152</v>
      </c>
      <c r="H29" s="322">
        <f>'[1]Comparison original &amp; adjusted'!$H26</f>
        <v>0</v>
      </c>
      <c r="I29" s="387">
        <f t="shared" si="5"/>
        <v>13769529.543135714</v>
      </c>
      <c r="J29" s="41">
        <v>9181584.413279682</v>
      </c>
      <c r="K29" s="41">
        <f t="shared" si="6"/>
        <v>4587945.129856031</v>
      </c>
      <c r="L29" s="41">
        <f t="shared" si="7"/>
        <v>1146986.2824640078</v>
      </c>
      <c r="M29" s="41">
        <v>13934642.3854</v>
      </c>
      <c r="N29" s="194">
        <f t="shared" si="8"/>
        <v>-165112.8422642853</v>
      </c>
      <c r="O29" s="22">
        <f t="shared" si="9"/>
        <v>0</v>
      </c>
      <c r="P29" s="22">
        <f t="shared" si="10"/>
        <v>-165112.8422642853</v>
      </c>
      <c r="Q29" s="22">
        <v>26597</v>
      </c>
      <c r="R29" s="201">
        <f t="shared" si="0"/>
        <v>0.75</v>
      </c>
      <c r="S29" s="197">
        <v>298.150666773319</v>
      </c>
      <c r="T29" s="216">
        <f t="shared" si="11"/>
        <v>0</v>
      </c>
      <c r="U29" s="213"/>
      <c r="V29" s="213">
        <v>1147698.0516599603</v>
      </c>
      <c r="W29" s="196">
        <f t="shared" si="12"/>
        <v>9181584.413279682</v>
      </c>
      <c r="X29" s="206">
        <f t="shared" si="1"/>
        <v>0</v>
      </c>
      <c r="Y29" s="22">
        <f t="shared" si="2"/>
        <v>9181584.413279682</v>
      </c>
      <c r="Z29" s="22" t="e">
        <f>#REF!</f>
        <v>#REF!</v>
      </c>
      <c r="AA29" s="41">
        <v>13963063</v>
      </c>
      <c r="AB29" s="22" t="e">
        <f>#REF!-AA29</f>
        <v>#REF!</v>
      </c>
      <c r="AC29" s="32" t="e">
        <f t="shared" si="3"/>
        <v>#REF!</v>
      </c>
      <c r="AD29" s="15"/>
      <c r="AE29" s="15"/>
      <c r="AF29" s="15"/>
      <c r="AG29" s="15"/>
    </row>
    <row r="30" spans="1:33" ht="12.75">
      <c r="A30" s="21">
        <v>22</v>
      </c>
      <c r="B30" s="21" t="s">
        <v>194</v>
      </c>
      <c r="C30" s="224">
        <f>'Table 4 Formula'!BA29</f>
        <v>14681225.7768</v>
      </c>
      <c r="D30" s="322">
        <v>-147329.79173920208</v>
      </c>
      <c r="E30" s="224">
        <f t="shared" si="4"/>
        <v>14533895.985060798</v>
      </c>
      <c r="F30" s="224">
        <f>E30/'Table 4 Formula'!C29</f>
        <v>4049.5670061467813</v>
      </c>
      <c r="G30" s="22">
        <f>'[1]Comparison original &amp; adjusted'!$G27</f>
        <v>45851.798099998385</v>
      </c>
      <c r="H30" s="322">
        <f>'[1]Comparison original &amp; adjusted'!$H27</f>
        <v>0</v>
      </c>
      <c r="I30" s="387">
        <f t="shared" si="5"/>
        <v>14579747.783160796</v>
      </c>
      <c r="J30" s="41">
        <v>9616909.98117165</v>
      </c>
      <c r="K30" s="41">
        <f t="shared" si="6"/>
        <v>4962837.801989146</v>
      </c>
      <c r="L30" s="41">
        <f t="shared" si="7"/>
        <v>1240709.4504972864</v>
      </c>
      <c r="M30" s="41">
        <v>14116763.971</v>
      </c>
      <c r="N30" s="194">
        <f t="shared" si="8"/>
        <v>462983.81216079555</v>
      </c>
      <c r="O30" s="22">
        <f t="shared" si="9"/>
        <v>462983.81216079555</v>
      </c>
      <c r="P30" s="22">
        <f t="shared" si="10"/>
        <v>0</v>
      </c>
      <c r="Q30" s="22">
        <v>28221</v>
      </c>
      <c r="R30" s="201">
        <f t="shared" si="0"/>
        <v>0.75</v>
      </c>
      <c r="S30" s="197">
        <v>242</v>
      </c>
      <c r="T30" s="216">
        <f t="shared" si="11"/>
        <v>1256</v>
      </c>
      <c r="U30" s="213"/>
      <c r="V30" s="213">
        <v>1202113.7476464564</v>
      </c>
      <c r="W30" s="196">
        <f t="shared" si="12"/>
        <v>9616909.98117165</v>
      </c>
      <c r="X30" s="206">
        <f t="shared" si="1"/>
        <v>0</v>
      </c>
      <c r="Y30" s="22">
        <f t="shared" si="2"/>
        <v>9616909.98117165</v>
      </c>
      <c r="Z30" s="22" t="e">
        <f>#REF!</f>
        <v>#REF!</v>
      </c>
      <c r="AA30" s="41">
        <v>14349683</v>
      </c>
      <c r="AB30" s="22" t="e">
        <f>#REF!-AA30</f>
        <v>#REF!</v>
      </c>
      <c r="AC30" s="32" t="e">
        <f t="shared" si="3"/>
        <v>#REF!</v>
      </c>
      <c r="AD30" s="15"/>
      <c r="AE30" s="15"/>
      <c r="AF30" s="15"/>
      <c r="AG30" s="15"/>
    </row>
    <row r="31" spans="1:33" ht="12.75">
      <c r="A31" s="21">
        <v>23</v>
      </c>
      <c r="B31" s="21" t="s">
        <v>195</v>
      </c>
      <c r="C31" s="224">
        <f>'Table 4 Formula'!BA30</f>
        <v>52367876.7732</v>
      </c>
      <c r="D31" s="322">
        <v>-525517.0354103437</v>
      </c>
      <c r="E31" s="224">
        <f t="shared" si="4"/>
        <v>51842359.73778965</v>
      </c>
      <c r="F31" s="224">
        <f>E31/'Table 4 Formula'!C30</f>
        <v>3575.5817461748848</v>
      </c>
      <c r="G31" s="22">
        <f>'[1]Comparison original &amp; adjusted'!$G28</f>
        <v>776379.3255999982</v>
      </c>
      <c r="H31" s="322">
        <f>'[1]Comparison original &amp; adjusted'!$H28</f>
        <v>0</v>
      </c>
      <c r="I31" s="387">
        <f t="shared" si="5"/>
        <v>52618739.06338965</v>
      </c>
      <c r="J31" s="41">
        <v>33778851.26116275</v>
      </c>
      <c r="K31" s="41">
        <f t="shared" si="6"/>
        <v>18839887.8022269</v>
      </c>
      <c r="L31" s="41">
        <f t="shared" si="7"/>
        <v>4709971.950556725</v>
      </c>
      <c r="M31" s="41">
        <v>50058198.1291</v>
      </c>
      <c r="N31" s="194">
        <f t="shared" si="8"/>
        <v>2560540.934289649</v>
      </c>
      <c r="O31" s="22">
        <f t="shared" si="9"/>
        <v>2560540.934289649</v>
      </c>
      <c r="P31" s="22">
        <f t="shared" si="10"/>
        <v>0</v>
      </c>
      <c r="Q31" s="22">
        <v>31628</v>
      </c>
      <c r="R31" s="201">
        <f t="shared" si="0"/>
        <v>0.75</v>
      </c>
      <c r="S31" s="197">
        <v>1012.66666668653</v>
      </c>
      <c r="T31" s="216">
        <f t="shared" si="11"/>
        <v>1661</v>
      </c>
      <c r="U31" s="213"/>
      <c r="V31" s="213">
        <v>4222356.407645344</v>
      </c>
      <c r="W31" s="196">
        <f t="shared" si="12"/>
        <v>33778851.26116275</v>
      </c>
      <c r="X31" s="206">
        <f t="shared" si="1"/>
        <v>0</v>
      </c>
      <c r="Y31" s="22">
        <f t="shared" si="2"/>
        <v>33778851.26116275</v>
      </c>
      <c r="Z31" s="22" t="e">
        <f>#REF!</f>
        <v>#REF!</v>
      </c>
      <c r="AA31" s="41">
        <v>50716389</v>
      </c>
      <c r="AB31" s="22" t="e">
        <f>#REF!-AA31</f>
        <v>#REF!</v>
      </c>
      <c r="AC31" s="32" t="e">
        <f t="shared" si="3"/>
        <v>#REF!</v>
      </c>
      <c r="AD31" s="15"/>
      <c r="AE31" s="15"/>
      <c r="AF31" s="15"/>
      <c r="AG31" s="15"/>
    </row>
    <row r="32" spans="1:33" ht="12.75">
      <c r="A32" s="21">
        <v>24</v>
      </c>
      <c r="B32" s="21" t="s">
        <v>196</v>
      </c>
      <c r="C32" s="224">
        <f>'Table 4 Formula'!BA31</f>
        <v>12577337.85</v>
      </c>
      <c r="D32" s="322">
        <v>-126218.47206048152</v>
      </c>
      <c r="E32" s="224">
        <f t="shared" si="4"/>
        <v>12451119.377939519</v>
      </c>
      <c r="F32" s="224">
        <f>E32/'Table 4 Formula'!C31</f>
        <v>2530.201052212867</v>
      </c>
      <c r="G32" s="22">
        <f>'[1]Comparison original &amp; adjusted'!$G29</f>
        <v>0</v>
      </c>
      <c r="H32" s="322">
        <f>'[1]Comparison original &amp; adjusted'!$H29</f>
        <v>-2555.8499999996275</v>
      </c>
      <c r="I32" s="387">
        <f t="shared" si="5"/>
        <v>12448563.527939519</v>
      </c>
      <c r="J32" s="41">
        <v>8379548.843041897</v>
      </c>
      <c r="K32" s="41">
        <f t="shared" si="6"/>
        <v>4069014.684897622</v>
      </c>
      <c r="L32" s="41">
        <f t="shared" si="7"/>
        <v>1017253.6712244055</v>
      </c>
      <c r="M32" s="41">
        <v>12798781.35</v>
      </c>
      <c r="N32" s="194">
        <f t="shared" si="8"/>
        <v>-350217.8220604807</v>
      </c>
      <c r="O32" s="22">
        <f t="shared" si="9"/>
        <v>0</v>
      </c>
      <c r="P32" s="22">
        <f t="shared" si="10"/>
        <v>-350217.8220604807</v>
      </c>
      <c r="Q32" s="22">
        <v>35331</v>
      </c>
      <c r="R32" s="201">
        <f t="shared" si="0"/>
        <v>0.75</v>
      </c>
      <c r="S32" s="197">
        <v>353.491428613663</v>
      </c>
      <c r="T32" s="216">
        <f t="shared" si="11"/>
        <v>0</v>
      </c>
      <c r="U32" s="213"/>
      <c r="V32" s="213">
        <v>1047443.6053802371</v>
      </c>
      <c r="W32" s="196">
        <f t="shared" si="12"/>
        <v>8379548.843041897</v>
      </c>
      <c r="X32" s="206">
        <f t="shared" si="1"/>
        <v>0</v>
      </c>
      <c r="Y32" s="22">
        <f t="shared" si="2"/>
        <v>8379548.843041897</v>
      </c>
      <c r="Z32" s="22" t="e">
        <f>#REF!</f>
        <v>#REF!</v>
      </c>
      <c r="AA32" s="41">
        <v>13257777</v>
      </c>
      <c r="AB32" s="22" t="e">
        <f>#REF!-AA32</f>
        <v>#REF!</v>
      </c>
      <c r="AC32" s="32" t="e">
        <f t="shared" si="3"/>
        <v>#REF!</v>
      </c>
      <c r="AD32" s="15"/>
      <c r="AE32" s="15"/>
      <c r="AF32" s="15"/>
      <c r="AG32" s="15"/>
    </row>
    <row r="33" spans="1:33" ht="12.75">
      <c r="A33" s="34">
        <v>25</v>
      </c>
      <c r="B33" s="35" t="s">
        <v>197</v>
      </c>
      <c r="C33" s="225">
        <f>'Table 4 Formula'!BA32</f>
        <v>9900424.5347</v>
      </c>
      <c r="D33" s="323">
        <v>-98662.92019176594</v>
      </c>
      <c r="E33" s="225">
        <f t="shared" si="4"/>
        <v>9801761.614508234</v>
      </c>
      <c r="F33" s="386">
        <f>E33/'Table 4 Formula'!C32</f>
        <v>3836.3059156588</v>
      </c>
      <c r="G33" s="36">
        <f>'[1]Comparison original &amp; adjusted'!$G30</f>
        <v>69908.60969999991</v>
      </c>
      <c r="H33" s="323">
        <f>'[1]Comparison original &amp; adjusted'!$H30</f>
        <v>0</v>
      </c>
      <c r="I33" s="388">
        <f t="shared" si="5"/>
        <v>9871670.224208234</v>
      </c>
      <c r="J33" s="43">
        <v>6662630.196005932</v>
      </c>
      <c r="K33" s="43">
        <f t="shared" si="6"/>
        <v>3209040.028202302</v>
      </c>
      <c r="L33" s="43">
        <f t="shared" si="7"/>
        <v>802260.0070505755</v>
      </c>
      <c r="M33" s="43">
        <v>9977950.5564</v>
      </c>
      <c r="N33" s="195">
        <f t="shared" si="8"/>
        <v>-106280.33219176531</v>
      </c>
      <c r="O33" s="36">
        <f t="shared" si="9"/>
        <v>0</v>
      </c>
      <c r="P33" s="36">
        <f t="shared" si="10"/>
        <v>-106280.33219176531</v>
      </c>
      <c r="Q33" s="36">
        <v>25142</v>
      </c>
      <c r="R33" s="202">
        <f t="shared" si="0"/>
        <v>0.75</v>
      </c>
      <c r="S33" s="198">
        <v>186.514285698533</v>
      </c>
      <c r="T33" s="217">
        <f t="shared" si="11"/>
        <v>0</v>
      </c>
      <c r="U33" s="213"/>
      <c r="V33" s="213">
        <v>832828.7745007415</v>
      </c>
      <c r="W33" s="196">
        <f t="shared" si="12"/>
        <v>6662630.196005932</v>
      </c>
      <c r="X33" s="207">
        <f t="shared" si="1"/>
        <v>0</v>
      </c>
      <c r="Y33" s="36">
        <f t="shared" si="2"/>
        <v>6662630.196005932</v>
      </c>
      <c r="Z33" s="36" t="e">
        <f>#REF!</f>
        <v>#REF!</v>
      </c>
      <c r="AA33" s="43">
        <v>10146450</v>
      </c>
      <c r="AB33" s="36" t="e">
        <f>#REF!-AA33</f>
        <v>#REF!</v>
      </c>
      <c r="AC33" s="37" t="e">
        <f t="shared" si="3"/>
        <v>#REF!</v>
      </c>
      <c r="AD33" s="15"/>
      <c r="AE33" s="15"/>
      <c r="AF33" s="15"/>
      <c r="AG33" s="15"/>
    </row>
    <row r="34" spans="1:33" ht="12.75">
      <c r="A34" s="21">
        <v>26</v>
      </c>
      <c r="B34" s="21" t="s">
        <v>198</v>
      </c>
      <c r="C34" s="224">
        <f>'Table 4 Formula'!BA33</f>
        <v>120776477.24999999</v>
      </c>
      <c r="D34" s="322">
        <v>-1212038.8760471626</v>
      </c>
      <c r="E34" s="224">
        <f t="shared" si="4"/>
        <v>119564438.37395282</v>
      </c>
      <c r="F34" s="224">
        <f>E34/'Table 4 Formula'!C33</f>
        <v>2375.845769974224</v>
      </c>
      <c r="G34" s="22">
        <f>'[1]Comparison original &amp; adjusted'!$G31</f>
        <v>0</v>
      </c>
      <c r="H34" s="322">
        <f>'[1]Comparison original &amp; adjusted'!$H31</f>
        <v>-146395.72999998927</v>
      </c>
      <c r="I34" s="387">
        <f t="shared" si="5"/>
        <v>119418042.64395283</v>
      </c>
      <c r="J34" s="41">
        <v>79708294.60096365</v>
      </c>
      <c r="K34" s="41">
        <f t="shared" si="6"/>
        <v>39709748.04298918</v>
      </c>
      <c r="L34" s="41">
        <f t="shared" si="7"/>
        <v>9927437.010747295</v>
      </c>
      <c r="M34" s="41">
        <v>121874317.02999999</v>
      </c>
      <c r="N34" s="194">
        <f t="shared" si="8"/>
        <v>-2456274.3860471547</v>
      </c>
      <c r="O34" s="22">
        <f t="shared" si="9"/>
        <v>0</v>
      </c>
      <c r="P34" s="22">
        <f t="shared" si="10"/>
        <v>-2456274.3860471547</v>
      </c>
      <c r="Q34" s="22">
        <v>33532</v>
      </c>
      <c r="R34" s="201">
        <f t="shared" si="0"/>
        <v>0.75</v>
      </c>
      <c r="S34" s="197">
        <v>3399.07999992371</v>
      </c>
      <c r="T34" s="216">
        <f t="shared" si="11"/>
        <v>0</v>
      </c>
      <c r="U34" s="213"/>
      <c r="V34" s="213">
        <v>9963536.825120457</v>
      </c>
      <c r="W34" s="196">
        <f t="shared" si="12"/>
        <v>79708294.60096365</v>
      </c>
      <c r="X34" s="206">
        <f t="shared" si="1"/>
        <v>0</v>
      </c>
      <c r="Y34" s="22">
        <f t="shared" si="2"/>
        <v>79708294.60096365</v>
      </c>
      <c r="Z34" s="22" t="e">
        <f>#REF!</f>
        <v>#REF!</v>
      </c>
      <c r="AA34" s="41">
        <v>125656601</v>
      </c>
      <c r="AB34" s="22" t="e">
        <f>#REF!-AA34</f>
        <v>#REF!</v>
      </c>
      <c r="AC34" s="32" t="e">
        <f t="shared" si="3"/>
        <v>#REF!</v>
      </c>
      <c r="AD34" s="15"/>
      <c r="AE34" s="15"/>
      <c r="AF34" s="15"/>
      <c r="AG34" s="15"/>
    </row>
    <row r="35" spans="1:33" ht="12.75">
      <c r="A35" s="21">
        <v>27</v>
      </c>
      <c r="B35" s="21" t="s">
        <v>199</v>
      </c>
      <c r="C35" s="224">
        <f>'Table 4 Formula'!BA34</f>
        <v>22114167.0495</v>
      </c>
      <c r="D35" s="322">
        <v>-221919.57577204786</v>
      </c>
      <c r="E35" s="224">
        <f t="shared" si="4"/>
        <v>21892247.473727953</v>
      </c>
      <c r="F35" s="224">
        <f>E35/'Table 4 Formula'!C34</f>
        <v>3739.70746049333</v>
      </c>
      <c r="G35" s="22">
        <f>'[1]Comparison original &amp; adjusted'!$G32</f>
        <v>160961.86019999906</v>
      </c>
      <c r="H35" s="322">
        <f>'[1]Comparison original &amp; adjusted'!$H32</f>
        <v>0</v>
      </c>
      <c r="I35" s="387">
        <f t="shared" si="5"/>
        <v>22053209.33392795</v>
      </c>
      <c r="J35" s="41">
        <v>14147920.011005295</v>
      </c>
      <c r="K35" s="41">
        <f t="shared" si="6"/>
        <v>7905289.322922656</v>
      </c>
      <c r="L35" s="41">
        <f t="shared" si="7"/>
        <v>1976322.330730664</v>
      </c>
      <c r="M35" s="41">
        <v>21299852.5505</v>
      </c>
      <c r="N35" s="194">
        <f t="shared" si="8"/>
        <v>753356.78342795</v>
      </c>
      <c r="O35" s="22">
        <f t="shared" si="9"/>
        <v>753356.78342795</v>
      </c>
      <c r="P35" s="22">
        <f t="shared" si="10"/>
        <v>0</v>
      </c>
      <c r="Q35" s="22">
        <v>32165</v>
      </c>
      <c r="R35" s="201">
        <f t="shared" si="0"/>
        <v>0.75</v>
      </c>
      <c r="S35" s="197">
        <v>377.33333337307</v>
      </c>
      <c r="T35" s="216">
        <f t="shared" si="11"/>
        <v>1311</v>
      </c>
      <c r="U35" s="213"/>
      <c r="V35" s="213">
        <v>1768490.001375662</v>
      </c>
      <c r="W35" s="196">
        <f t="shared" si="12"/>
        <v>14147920.011005295</v>
      </c>
      <c r="X35" s="206">
        <f t="shared" si="1"/>
        <v>0</v>
      </c>
      <c r="Y35" s="22">
        <f t="shared" si="2"/>
        <v>14147920.011005295</v>
      </c>
      <c r="Z35" s="22" t="e">
        <f>#REF!</f>
        <v>#REF!</v>
      </c>
      <c r="AA35" s="41">
        <v>21369393</v>
      </c>
      <c r="AB35" s="22" t="e">
        <f>#REF!-AA35</f>
        <v>#REF!</v>
      </c>
      <c r="AC35" s="32" t="e">
        <f t="shared" si="3"/>
        <v>#REF!</v>
      </c>
      <c r="AD35" s="15"/>
      <c r="AE35" s="15"/>
      <c r="AF35" s="15"/>
      <c r="AG35" s="15"/>
    </row>
    <row r="36" spans="1:33" ht="12.75">
      <c r="A36" s="21">
        <v>28</v>
      </c>
      <c r="B36" s="21" t="s">
        <v>200</v>
      </c>
      <c r="C36" s="224">
        <f>'Table 4 Formula'!BA35</f>
        <v>68650140.64</v>
      </c>
      <c r="D36" s="322">
        <v>-688930.8333082729</v>
      </c>
      <c r="E36" s="224">
        <f t="shared" si="4"/>
        <v>67961209.80669172</v>
      </c>
      <c r="F36" s="224">
        <f>E36/'Table 4 Formula'!C35</f>
        <v>2332.871406243709</v>
      </c>
      <c r="G36" s="22">
        <f>'[1]Comparison original &amp; adjusted'!$G33</f>
        <v>0</v>
      </c>
      <c r="H36" s="322">
        <f>'[1]Comparison original &amp; adjusted'!$H33</f>
        <v>-51843.439999997616</v>
      </c>
      <c r="I36" s="387">
        <f t="shared" si="5"/>
        <v>67909366.36669172</v>
      </c>
      <c r="J36" s="41">
        <v>45604755.438053675</v>
      </c>
      <c r="K36" s="41">
        <f t="shared" si="6"/>
        <v>22304610.92863805</v>
      </c>
      <c r="L36" s="41">
        <f t="shared" si="7"/>
        <v>5576152.732159512</v>
      </c>
      <c r="M36" s="41">
        <v>69380741.84</v>
      </c>
      <c r="N36" s="194">
        <f t="shared" si="8"/>
        <v>-1471375.47330828</v>
      </c>
      <c r="O36" s="22">
        <f t="shared" si="9"/>
        <v>0</v>
      </c>
      <c r="P36" s="22">
        <f t="shared" si="10"/>
        <v>-1471375.47330828</v>
      </c>
      <c r="Q36" s="22">
        <v>33128</v>
      </c>
      <c r="R36" s="201">
        <f t="shared" si="0"/>
        <v>0.75</v>
      </c>
      <c r="S36" s="197">
        <v>1977.65285717696</v>
      </c>
      <c r="T36" s="216">
        <f t="shared" si="11"/>
        <v>0</v>
      </c>
      <c r="U36" s="213"/>
      <c r="V36" s="213">
        <v>5700594.429756709</v>
      </c>
      <c r="W36" s="196">
        <f t="shared" si="12"/>
        <v>45604755.438053675</v>
      </c>
      <c r="X36" s="206">
        <f t="shared" si="1"/>
        <v>0</v>
      </c>
      <c r="Y36" s="22">
        <f t="shared" si="2"/>
        <v>45604755.438053675</v>
      </c>
      <c r="Z36" s="22" t="e">
        <f>#REF!</f>
        <v>#REF!</v>
      </c>
      <c r="AA36" s="41">
        <v>71023879</v>
      </c>
      <c r="AB36" s="22" t="e">
        <f>#REF!-AA36</f>
        <v>#REF!</v>
      </c>
      <c r="AC36" s="32" t="e">
        <f t="shared" si="3"/>
        <v>#REF!</v>
      </c>
      <c r="AD36" s="15"/>
      <c r="AE36" s="15"/>
      <c r="AF36" s="15"/>
      <c r="AG36" s="15"/>
    </row>
    <row r="37" spans="1:33" ht="12.75">
      <c r="A37" s="21">
        <v>29</v>
      </c>
      <c r="B37" s="21" t="s">
        <v>201</v>
      </c>
      <c r="C37" s="224">
        <f>'Table 4 Formula'!BA36</f>
        <v>51195829.2703</v>
      </c>
      <c r="D37" s="322">
        <v>-513756.55073628546</v>
      </c>
      <c r="E37" s="224">
        <f t="shared" si="4"/>
        <v>50682072.719563715</v>
      </c>
      <c r="F37" s="224">
        <f>E37/'Table 4 Formula'!C36</f>
        <v>3347.1187900913824</v>
      </c>
      <c r="G37" s="22">
        <f>'[1]Comparison original &amp; adjusted'!$G34</f>
        <v>529458.9806999937</v>
      </c>
      <c r="H37" s="322">
        <f>'[1]Comparison original &amp; adjusted'!$H34</f>
        <v>0</v>
      </c>
      <c r="I37" s="387">
        <f t="shared" si="5"/>
        <v>51211531.70026371</v>
      </c>
      <c r="J37" s="41">
        <v>33706782.22531705</v>
      </c>
      <c r="K37" s="41">
        <f t="shared" si="6"/>
        <v>17504749.474946655</v>
      </c>
      <c r="L37" s="41">
        <f t="shared" si="7"/>
        <v>4376187.368736664</v>
      </c>
      <c r="M37" s="41">
        <v>49871857.3708</v>
      </c>
      <c r="N37" s="194">
        <f t="shared" si="8"/>
        <v>1339674.3294637054</v>
      </c>
      <c r="O37" s="22">
        <f t="shared" si="9"/>
        <v>1339674.3294637054</v>
      </c>
      <c r="P37" s="22">
        <f t="shared" si="10"/>
        <v>0</v>
      </c>
      <c r="Q37" s="22">
        <v>29849</v>
      </c>
      <c r="R37" s="201">
        <f t="shared" si="0"/>
        <v>0.75</v>
      </c>
      <c r="S37" s="197">
        <v>1212</v>
      </c>
      <c r="T37" s="216">
        <f t="shared" si="11"/>
        <v>726</v>
      </c>
      <c r="U37" s="213"/>
      <c r="V37" s="213">
        <v>4213347.778164632</v>
      </c>
      <c r="W37" s="196">
        <f t="shared" si="12"/>
        <v>33706782.22531705</v>
      </c>
      <c r="X37" s="206">
        <f t="shared" si="1"/>
        <v>0</v>
      </c>
      <c r="Y37" s="22">
        <f t="shared" si="2"/>
        <v>33706782.22531705</v>
      </c>
      <c r="Z37" s="22" t="e">
        <f>#REF!</f>
        <v>#REF!</v>
      </c>
      <c r="AA37" s="41">
        <v>51477139</v>
      </c>
      <c r="AB37" s="22" t="e">
        <f>#REF!-AA37</f>
        <v>#REF!</v>
      </c>
      <c r="AC37" s="32" t="e">
        <f t="shared" si="3"/>
        <v>#REF!</v>
      </c>
      <c r="AD37" s="15"/>
      <c r="AE37" s="15"/>
      <c r="AF37" s="15"/>
      <c r="AG37" s="15"/>
    </row>
    <row r="38" spans="1:33" ht="12.75">
      <c r="A38" s="34">
        <v>30</v>
      </c>
      <c r="B38" s="35" t="s">
        <v>202</v>
      </c>
      <c r="C38" s="225">
        <f>'Table 4 Formula'!BA37</f>
        <v>9913481.89</v>
      </c>
      <c r="D38" s="323">
        <v>-99483.75649464788</v>
      </c>
      <c r="E38" s="225">
        <f t="shared" si="4"/>
        <v>9813998.133505352</v>
      </c>
      <c r="F38" s="386">
        <f>E38/'Table 4 Formula'!C37</f>
        <v>3774.6146667328276</v>
      </c>
      <c r="G38" s="36">
        <f>'[1]Comparison original &amp; adjusted'!$G35</f>
        <v>58351.460100000724</v>
      </c>
      <c r="H38" s="323">
        <f>'[1]Comparison original &amp; adjusted'!$H35</f>
        <v>0</v>
      </c>
      <c r="I38" s="388">
        <f t="shared" si="5"/>
        <v>9872349.593605353</v>
      </c>
      <c r="J38" s="43">
        <v>6067380.009824666</v>
      </c>
      <c r="K38" s="43">
        <f t="shared" si="6"/>
        <v>3804969.5837806864</v>
      </c>
      <c r="L38" s="43">
        <f t="shared" si="7"/>
        <v>951242.3959451716</v>
      </c>
      <c r="M38" s="43">
        <v>8942329.2679</v>
      </c>
      <c r="N38" s="195">
        <f t="shared" si="8"/>
        <v>930020.3257053532</v>
      </c>
      <c r="O38" s="36">
        <f t="shared" si="9"/>
        <v>930020.3257053532</v>
      </c>
      <c r="P38" s="36">
        <f t="shared" si="10"/>
        <v>0</v>
      </c>
      <c r="Q38" s="36">
        <v>27657</v>
      </c>
      <c r="R38" s="202">
        <f t="shared" si="0"/>
        <v>0.75</v>
      </c>
      <c r="S38" s="198">
        <v>182</v>
      </c>
      <c r="T38" s="217">
        <f t="shared" si="11"/>
        <v>3356</v>
      </c>
      <c r="U38" s="213"/>
      <c r="V38" s="213">
        <v>758422.5012280833</v>
      </c>
      <c r="W38" s="196">
        <f t="shared" si="12"/>
        <v>6067380.009824666</v>
      </c>
      <c r="X38" s="207">
        <f t="shared" si="1"/>
        <v>0</v>
      </c>
      <c r="Y38" s="36">
        <f t="shared" si="2"/>
        <v>6067380.009824666</v>
      </c>
      <c r="Z38" s="36" t="e">
        <f>#REF!</f>
        <v>#REF!</v>
      </c>
      <c r="AA38" s="43">
        <v>9046407</v>
      </c>
      <c r="AB38" s="36" t="e">
        <f>#REF!-AA38</f>
        <v>#REF!</v>
      </c>
      <c r="AC38" s="37" t="e">
        <f t="shared" si="3"/>
        <v>#REF!</v>
      </c>
      <c r="AD38" s="15"/>
      <c r="AE38" s="15"/>
      <c r="AF38" s="15"/>
      <c r="AG38" s="15"/>
    </row>
    <row r="39" spans="1:33" ht="12.75">
      <c r="A39" s="21">
        <v>31</v>
      </c>
      <c r="B39" s="21" t="s">
        <v>203</v>
      </c>
      <c r="C39" s="224">
        <f>'Table 4 Formula'!BA38</f>
        <v>20192877.2982</v>
      </c>
      <c r="D39" s="322">
        <v>-202636.8478688709</v>
      </c>
      <c r="E39" s="224">
        <f t="shared" si="4"/>
        <v>19990240.45033113</v>
      </c>
      <c r="F39" s="224">
        <f>E39/'Table 4 Formula'!C38</f>
        <v>3009.2187942693254</v>
      </c>
      <c r="G39" s="22">
        <f>'[1]Comparison original &amp; adjusted'!$G36</f>
        <v>214442.79430000111</v>
      </c>
      <c r="H39" s="322">
        <f>'[1]Comparison original &amp; adjusted'!$H36</f>
        <v>0</v>
      </c>
      <c r="I39" s="387">
        <f t="shared" si="5"/>
        <v>20204683.24463113</v>
      </c>
      <c r="J39" s="41">
        <v>12848565.032648288</v>
      </c>
      <c r="K39" s="41">
        <f t="shared" si="6"/>
        <v>7356118.211982843</v>
      </c>
      <c r="L39" s="41">
        <f t="shared" si="7"/>
        <v>1839029.5529957106</v>
      </c>
      <c r="M39" s="41">
        <v>19057601.5893</v>
      </c>
      <c r="N39" s="194">
        <f t="shared" si="8"/>
        <v>1147081.655331131</v>
      </c>
      <c r="O39" s="22">
        <f t="shared" si="9"/>
        <v>1147081.655331131</v>
      </c>
      <c r="P39" s="22">
        <f t="shared" si="10"/>
        <v>0</v>
      </c>
      <c r="Q39" s="22">
        <v>29806</v>
      </c>
      <c r="R39" s="201">
        <f t="shared" si="0"/>
        <v>0.75</v>
      </c>
      <c r="S39" s="197">
        <v>466.683333277702</v>
      </c>
      <c r="T39" s="216">
        <f t="shared" si="11"/>
        <v>1614</v>
      </c>
      <c r="U39" s="213"/>
      <c r="V39" s="213">
        <v>1606070.629081036</v>
      </c>
      <c r="W39" s="196">
        <f t="shared" si="12"/>
        <v>12848565.032648288</v>
      </c>
      <c r="X39" s="206">
        <f t="shared" si="1"/>
        <v>0</v>
      </c>
      <c r="Y39" s="22">
        <f t="shared" si="2"/>
        <v>12848565.032648288</v>
      </c>
      <c r="Z39" s="22" t="e">
        <f>#REF!</f>
        <v>#REF!</v>
      </c>
      <c r="AA39" s="41">
        <v>18672898</v>
      </c>
      <c r="AB39" s="22" t="e">
        <f>#REF!-AA39</f>
        <v>#REF!</v>
      </c>
      <c r="AC39" s="32" t="e">
        <f t="shared" si="3"/>
        <v>#REF!</v>
      </c>
      <c r="AD39" s="15"/>
      <c r="AE39" s="15"/>
      <c r="AF39" s="15"/>
      <c r="AG39" s="15"/>
    </row>
    <row r="40" spans="1:33" ht="12.75">
      <c r="A40" s="21">
        <v>32</v>
      </c>
      <c r="B40" s="21" t="s">
        <v>204</v>
      </c>
      <c r="C40" s="224">
        <f>'Table 4 Formula'!BA39</f>
        <v>73224995.5182</v>
      </c>
      <c r="D40" s="322">
        <v>-734826.7626136905</v>
      </c>
      <c r="E40" s="224">
        <f t="shared" si="4"/>
        <v>72490168.75558631</v>
      </c>
      <c r="F40" s="224">
        <f>E40/'Table 4 Formula'!C39</f>
        <v>3672.43369753211</v>
      </c>
      <c r="G40" s="22">
        <f>'[1]Comparison original &amp; adjusted'!$G37</f>
        <v>343238.828700006</v>
      </c>
      <c r="H40" s="322">
        <f>'[1]Comparison original &amp; adjusted'!$H37</f>
        <v>0</v>
      </c>
      <c r="I40" s="387">
        <f t="shared" si="5"/>
        <v>72833407.58428632</v>
      </c>
      <c r="J40" s="41">
        <v>48590577.54911422</v>
      </c>
      <c r="K40" s="41">
        <f t="shared" si="6"/>
        <v>24242830.035172097</v>
      </c>
      <c r="L40" s="41">
        <f t="shared" si="7"/>
        <v>6060707.508793024</v>
      </c>
      <c r="M40" s="41">
        <v>69667376.9328</v>
      </c>
      <c r="N40" s="194">
        <f t="shared" si="8"/>
        <v>3166030.6514863223</v>
      </c>
      <c r="O40" s="22">
        <f t="shared" si="9"/>
        <v>3166030.6514863223</v>
      </c>
      <c r="P40" s="22">
        <f t="shared" si="10"/>
        <v>0</v>
      </c>
      <c r="Q40" s="22">
        <v>33838</v>
      </c>
      <c r="R40" s="201">
        <f t="shared" si="0"/>
        <v>0.75</v>
      </c>
      <c r="S40" s="197">
        <v>1217</v>
      </c>
      <c r="T40" s="216">
        <f t="shared" si="11"/>
        <v>1709</v>
      </c>
      <c r="U40" s="213"/>
      <c r="V40" s="213">
        <v>6073822.1936392775</v>
      </c>
      <c r="W40" s="196">
        <f t="shared" si="12"/>
        <v>48590577.54911422</v>
      </c>
      <c r="X40" s="206">
        <f t="shared" si="1"/>
        <v>0</v>
      </c>
      <c r="Y40" s="22">
        <f t="shared" si="2"/>
        <v>48590577.54911422</v>
      </c>
      <c r="Z40" s="22" t="e">
        <f>#REF!</f>
        <v>#REF!</v>
      </c>
      <c r="AA40" s="41">
        <v>69971512</v>
      </c>
      <c r="AB40" s="22" t="e">
        <f>#REF!-AA40</f>
        <v>#REF!</v>
      </c>
      <c r="AC40" s="32" t="e">
        <f t="shared" si="3"/>
        <v>#REF!</v>
      </c>
      <c r="AD40" s="15"/>
      <c r="AE40" s="15"/>
      <c r="AF40" s="15"/>
      <c r="AG40" s="15"/>
    </row>
    <row r="41" spans="1:33" ht="12.75">
      <c r="A41" s="21">
        <v>33</v>
      </c>
      <c r="B41" s="21" t="s">
        <v>205</v>
      </c>
      <c r="C41" s="224">
        <f>'Table 4 Formula'!BA40</f>
        <v>9158349.1495</v>
      </c>
      <c r="D41" s="322">
        <v>-91907.27103917181</v>
      </c>
      <c r="E41" s="224">
        <f t="shared" si="4"/>
        <v>9066441.878460828</v>
      </c>
      <c r="F41" s="224">
        <f>E41/'Table 4 Formula'!C40</f>
        <v>3642.6042099079264</v>
      </c>
      <c r="G41" s="22">
        <f>'[1]Comparison original &amp; adjusted'!$G38</f>
        <v>16674.46420000121</v>
      </c>
      <c r="H41" s="322">
        <f>'[1]Comparison original &amp; adjusted'!$H38</f>
        <v>0</v>
      </c>
      <c r="I41" s="387">
        <f t="shared" si="5"/>
        <v>9083116.34266083</v>
      </c>
      <c r="J41" s="41">
        <v>6096322.997529518</v>
      </c>
      <c r="K41" s="41">
        <f t="shared" si="6"/>
        <v>2986793.3451313116</v>
      </c>
      <c r="L41" s="41">
        <f t="shared" si="7"/>
        <v>746698.3362828279</v>
      </c>
      <c r="M41" s="41">
        <v>9062564.814</v>
      </c>
      <c r="N41" s="194">
        <f t="shared" si="8"/>
        <v>20551.52866083011</v>
      </c>
      <c r="O41" s="22">
        <f t="shared" si="9"/>
        <v>20551.52866083011</v>
      </c>
      <c r="P41" s="22">
        <f t="shared" si="10"/>
        <v>0</v>
      </c>
      <c r="Q41" s="22">
        <v>27167</v>
      </c>
      <c r="R41" s="201">
        <f t="shared" si="0"/>
        <v>0.75</v>
      </c>
      <c r="S41" s="197">
        <v>162</v>
      </c>
      <c r="T41" s="216">
        <f t="shared" si="11"/>
        <v>83</v>
      </c>
      <c r="U41" s="213"/>
      <c r="V41" s="213">
        <v>762040.3746911897</v>
      </c>
      <c r="W41" s="196">
        <f t="shared" si="12"/>
        <v>6096322.997529518</v>
      </c>
      <c r="X41" s="206">
        <f t="shared" si="1"/>
        <v>0</v>
      </c>
      <c r="Y41" s="22">
        <f aca="true" t="shared" si="13" ref="Y41:Y72">W41-X41</f>
        <v>6096322.997529518</v>
      </c>
      <c r="Z41" s="22" t="e">
        <f>#REF!</f>
        <v>#REF!</v>
      </c>
      <c r="AA41" s="41">
        <v>9026689</v>
      </c>
      <c r="AB41" s="22" t="e">
        <f>#REF!-AA41</f>
        <v>#REF!</v>
      </c>
      <c r="AC41" s="32" t="e">
        <f t="shared" si="3"/>
        <v>#REF!</v>
      </c>
      <c r="AD41" s="15"/>
      <c r="AE41" s="15"/>
      <c r="AF41" s="15"/>
      <c r="AG41" s="15"/>
    </row>
    <row r="42" spans="1:33" ht="12.75">
      <c r="A42" s="21">
        <v>34</v>
      </c>
      <c r="B42" s="21" t="s">
        <v>206</v>
      </c>
      <c r="C42" s="224">
        <f>'Table 4 Formula'!BA41</f>
        <v>18542228.4856</v>
      </c>
      <c r="D42" s="322">
        <v>-186075.0726988179</v>
      </c>
      <c r="E42" s="224">
        <f t="shared" si="4"/>
        <v>18356153.41290118</v>
      </c>
      <c r="F42" s="224">
        <f>E42/'Table 4 Formula'!C41</f>
        <v>3458.20523980806</v>
      </c>
      <c r="G42" s="22">
        <f>'[1]Comparison original &amp; adjusted'!$G39</f>
        <v>172915.51050000265</v>
      </c>
      <c r="H42" s="322">
        <f>'[1]Comparison original &amp; adjusted'!$H39</f>
        <v>0</v>
      </c>
      <c r="I42" s="387">
        <f t="shared" si="5"/>
        <v>18529068.923401184</v>
      </c>
      <c r="J42" s="41">
        <v>11793691.065553172</v>
      </c>
      <c r="K42" s="41">
        <f t="shared" si="6"/>
        <v>6735377.857848013</v>
      </c>
      <c r="L42" s="41">
        <f t="shared" si="7"/>
        <v>1683844.4644620032</v>
      </c>
      <c r="M42" s="41">
        <v>17661616.5182</v>
      </c>
      <c r="N42" s="194">
        <f t="shared" si="8"/>
        <v>867452.4052011855</v>
      </c>
      <c r="O42" s="22">
        <f t="shared" si="9"/>
        <v>867452.4052011855</v>
      </c>
      <c r="P42" s="22">
        <f t="shared" si="10"/>
        <v>0</v>
      </c>
      <c r="Q42" s="22">
        <v>27526</v>
      </c>
      <c r="R42" s="201">
        <f t="shared" si="0"/>
        <v>0.75</v>
      </c>
      <c r="S42" s="197">
        <v>382.975238084793</v>
      </c>
      <c r="T42" s="216">
        <f t="shared" si="11"/>
        <v>1488</v>
      </c>
      <c r="U42" s="213"/>
      <c r="V42" s="213">
        <v>1474211.3831941464</v>
      </c>
      <c r="W42" s="196">
        <f t="shared" si="12"/>
        <v>11793691.065553172</v>
      </c>
      <c r="X42" s="206">
        <f t="shared" si="1"/>
        <v>0</v>
      </c>
      <c r="Y42" s="22">
        <f t="shared" si="13"/>
        <v>11793691.065553172</v>
      </c>
      <c r="Z42" s="22" t="e">
        <f>#REF!</f>
        <v>#REF!</v>
      </c>
      <c r="AA42" s="41">
        <v>18434881</v>
      </c>
      <c r="AB42" s="22" t="e">
        <f>#REF!-AA42</f>
        <v>#REF!</v>
      </c>
      <c r="AC42" s="32" t="e">
        <f t="shared" si="3"/>
        <v>#REF!</v>
      </c>
      <c r="AD42" s="15"/>
      <c r="AE42" s="15"/>
      <c r="AF42" s="15"/>
      <c r="AG42" s="15"/>
    </row>
    <row r="43" spans="1:33" ht="12.75">
      <c r="A43" s="34">
        <v>35</v>
      </c>
      <c r="B43" s="35" t="s">
        <v>207</v>
      </c>
      <c r="C43" s="225">
        <f>'Table 4 Formula'!BA42</f>
        <v>23075337.9709</v>
      </c>
      <c r="D43" s="323">
        <v>-231561.9502883261</v>
      </c>
      <c r="E43" s="225">
        <f t="shared" si="4"/>
        <v>22843776.020611674</v>
      </c>
      <c r="F43" s="386">
        <f>E43/'Table 4 Formula'!C42</f>
        <v>3368.7916266939496</v>
      </c>
      <c r="G43" s="36">
        <f>'[1]Comparison original &amp; adjusted'!$G40</f>
        <v>228579.30950000137</v>
      </c>
      <c r="H43" s="323">
        <f>'[1]Comparison original &amp; adjusted'!$H40</f>
        <v>0</v>
      </c>
      <c r="I43" s="388">
        <f t="shared" si="5"/>
        <v>23072355.330111675</v>
      </c>
      <c r="J43" s="43">
        <v>14977414.103163876</v>
      </c>
      <c r="K43" s="43">
        <f t="shared" si="6"/>
        <v>8094941.226947799</v>
      </c>
      <c r="L43" s="43">
        <f t="shared" si="7"/>
        <v>2023735.3067369498</v>
      </c>
      <c r="M43" s="43">
        <v>22216263.542</v>
      </c>
      <c r="N43" s="195">
        <f t="shared" si="8"/>
        <v>856091.7881116755</v>
      </c>
      <c r="O43" s="36">
        <f t="shared" si="9"/>
        <v>856091.7881116755</v>
      </c>
      <c r="P43" s="36">
        <f t="shared" si="10"/>
        <v>0</v>
      </c>
      <c r="Q43" s="36">
        <v>29307</v>
      </c>
      <c r="R43" s="202">
        <f t="shared" si="0"/>
        <v>0.75</v>
      </c>
      <c r="S43" s="198">
        <v>463</v>
      </c>
      <c r="T43" s="217">
        <f t="shared" si="11"/>
        <v>1214</v>
      </c>
      <c r="U43" s="213"/>
      <c r="V43" s="213">
        <v>1872176.7628954845</v>
      </c>
      <c r="W43" s="196">
        <f t="shared" si="12"/>
        <v>14977414.103163876</v>
      </c>
      <c r="X43" s="207">
        <f t="shared" si="1"/>
        <v>0</v>
      </c>
      <c r="Y43" s="36">
        <f t="shared" si="13"/>
        <v>14977414.103163876</v>
      </c>
      <c r="Z43" s="36" t="e">
        <f>#REF!</f>
        <v>#REF!</v>
      </c>
      <c r="AA43" s="43">
        <v>23178990</v>
      </c>
      <c r="AB43" s="36" t="e">
        <f>#REF!-AA43</f>
        <v>#REF!</v>
      </c>
      <c r="AC43" s="37" t="e">
        <f t="shared" si="3"/>
        <v>#REF!</v>
      </c>
      <c r="AD43" s="15"/>
      <c r="AE43" s="15"/>
      <c r="AF43" s="15"/>
      <c r="AG43" s="15"/>
    </row>
    <row r="44" spans="1:33" ht="12.75">
      <c r="A44" s="21">
        <v>36</v>
      </c>
      <c r="B44" s="21" t="s">
        <v>208</v>
      </c>
      <c r="C44" s="224">
        <f>'Table 4 Formula'!BA43</f>
        <v>220747301.8642</v>
      </c>
      <c r="D44" s="322">
        <v>-2215198.9074451784</v>
      </c>
      <c r="E44" s="224">
        <f t="shared" si="4"/>
        <v>218532102.9567548</v>
      </c>
      <c r="F44" s="224">
        <f>E44/'Table 4 Formula'!C43</f>
        <v>2885.1788674432596</v>
      </c>
      <c r="G44" s="22">
        <f>'[1]Comparison original &amp; adjusted'!$G41</f>
        <v>434634.02120000124</v>
      </c>
      <c r="H44" s="322">
        <f>'[1]Comparison original &amp; adjusted'!$H41</f>
        <v>0</v>
      </c>
      <c r="I44" s="387">
        <f t="shared" si="5"/>
        <v>218966736.9779548</v>
      </c>
      <c r="J44" s="41">
        <v>150505293.64691535</v>
      </c>
      <c r="K44" s="41">
        <f t="shared" si="6"/>
        <v>68461443.33103946</v>
      </c>
      <c r="L44" s="41">
        <f t="shared" si="7"/>
        <v>17115360.832759865</v>
      </c>
      <c r="M44" s="41">
        <v>222989371.4037</v>
      </c>
      <c r="N44" s="194">
        <f t="shared" si="8"/>
        <v>-4022634.425745189</v>
      </c>
      <c r="O44" s="22">
        <f t="shared" si="9"/>
        <v>0</v>
      </c>
      <c r="P44" s="22">
        <f t="shared" si="10"/>
        <v>-4022634.425745189</v>
      </c>
      <c r="Q44" s="22">
        <v>34680</v>
      </c>
      <c r="R44" s="201">
        <f t="shared" si="0"/>
        <v>0.75</v>
      </c>
      <c r="S44" s="197">
        <v>5022.5</v>
      </c>
      <c r="T44" s="216">
        <f t="shared" si="11"/>
        <v>0</v>
      </c>
      <c r="U44" s="213"/>
      <c r="V44" s="213">
        <v>18813161.70586442</v>
      </c>
      <c r="W44" s="196">
        <f t="shared" si="12"/>
        <v>150505293.64691535</v>
      </c>
      <c r="X44" s="206">
        <f t="shared" si="1"/>
        <v>0</v>
      </c>
      <c r="Y44" s="22">
        <f t="shared" si="13"/>
        <v>150505293.64691535</v>
      </c>
      <c r="Z44" s="22" t="e">
        <f>#REF!</f>
        <v>#REF!</v>
      </c>
      <c r="AA44" s="41">
        <v>224388485</v>
      </c>
      <c r="AB44" s="22" t="e">
        <f>#REF!-AA44</f>
        <v>#REF!</v>
      </c>
      <c r="AC44" s="32" t="e">
        <f t="shared" si="3"/>
        <v>#REF!</v>
      </c>
      <c r="AD44" s="15"/>
      <c r="AE44" s="15"/>
      <c r="AF44" s="15"/>
      <c r="AG44" s="15"/>
    </row>
    <row r="45" spans="1:33" ht="12.75">
      <c r="A45" s="21">
        <v>37</v>
      </c>
      <c r="B45" s="21" t="s">
        <v>209</v>
      </c>
      <c r="C45" s="224">
        <f>'Table 4 Formula'!BA44</f>
        <v>64885827.8719</v>
      </c>
      <c r="D45" s="322">
        <v>-651143.2686401284</v>
      </c>
      <c r="E45" s="224">
        <f t="shared" si="4"/>
        <v>64234684.60325987</v>
      </c>
      <c r="F45" s="224">
        <f>E45/'Table 4 Formula'!C44</f>
        <v>3699.089237158645</v>
      </c>
      <c r="G45" s="22">
        <f>'[1]Comparison original &amp; adjusted'!$G42</f>
        <v>525710.5868000016</v>
      </c>
      <c r="H45" s="322">
        <f>'[1]Comparison original &amp; adjusted'!$H42</f>
        <v>0</v>
      </c>
      <c r="I45" s="387">
        <f t="shared" si="5"/>
        <v>64760395.19005987</v>
      </c>
      <c r="J45" s="41">
        <v>40227400.2816278</v>
      </c>
      <c r="K45" s="41">
        <f t="shared" si="6"/>
        <v>24532994.908432074</v>
      </c>
      <c r="L45" s="41">
        <f t="shared" si="7"/>
        <v>6133248.7271080185</v>
      </c>
      <c r="M45" s="41">
        <v>59000499.6612</v>
      </c>
      <c r="N45" s="194">
        <f t="shared" si="8"/>
        <v>5759895.528859869</v>
      </c>
      <c r="O45" s="22">
        <f t="shared" si="9"/>
        <v>5759895.528859869</v>
      </c>
      <c r="P45" s="22">
        <f t="shared" si="10"/>
        <v>0</v>
      </c>
      <c r="Q45" s="22">
        <v>33173</v>
      </c>
      <c r="R45" s="201">
        <f t="shared" si="0"/>
        <v>0.75</v>
      </c>
      <c r="S45" s="197">
        <v>1180.87952379882</v>
      </c>
      <c r="T45" s="216">
        <f t="shared" si="11"/>
        <v>3203</v>
      </c>
      <c r="U45" s="213"/>
      <c r="V45" s="213">
        <v>5028425.035203475</v>
      </c>
      <c r="W45" s="196">
        <f t="shared" si="12"/>
        <v>40227400.2816278</v>
      </c>
      <c r="X45" s="206">
        <f t="shared" si="1"/>
        <v>0</v>
      </c>
      <c r="Y45" s="22">
        <f t="shared" si="13"/>
        <v>40227400.2816278</v>
      </c>
      <c r="Z45" s="22" t="e">
        <f>#REF!</f>
        <v>#REF!</v>
      </c>
      <c r="AA45" s="41">
        <v>58405226</v>
      </c>
      <c r="AB45" s="22" t="e">
        <f>#REF!-AA45</f>
        <v>#REF!</v>
      </c>
      <c r="AC45" s="32" t="e">
        <f t="shared" si="3"/>
        <v>#REF!</v>
      </c>
      <c r="AD45" s="15"/>
      <c r="AE45" s="15"/>
      <c r="AF45" s="15"/>
      <c r="AG45" s="15"/>
    </row>
    <row r="46" spans="1:33" ht="12.75">
      <c r="A46" s="21">
        <v>38</v>
      </c>
      <c r="B46" s="21" t="s">
        <v>210</v>
      </c>
      <c r="C46" s="224">
        <f>'Table 4 Formula'!BA45</f>
        <v>10011799.16</v>
      </c>
      <c r="D46" s="322">
        <v>-100472.29437449852</v>
      </c>
      <c r="E46" s="224">
        <f t="shared" si="4"/>
        <v>9911326.865625503</v>
      </c>
      <c r="F46" s="224">
        <f>E46/'Table 4 Formula'!C45</f>
        <v>2076.9754538192587</v>
      </c>
      <c r="G46" s="22">
        <f>'[1]Comparison original &amp; adjusted'!$G43</f>
        <v>0</v>
      </c>
      <c r="H46" s="322">
        <f>'[1]Comparison original &amp; adjusted'!$H43</f>
        <v>-4196.059999998659</v>
      </c>
      <c r="I46" s="387">
        <f t="shared" si="5"/>
        <v>9907130.805625504</v>
      </c>
      <c r="J46" s="41">
        <v>6466315.227254444</v>
      </c>
      <c r="K46" s="41">
        <f t="shared" si="6"/>
        <v>3440815.57837106</v>
      </c>
      <c r="L46" s="41">
        <f t="shared" si="7"/>
        <v>860203.894592765</v>
      </c>
      <c r="M46" s="41">
        <v>9860010.31</v>
      </c>
      <c r="N46" s="194">
        <f t="shared" si="8"/>
        <v>47120.49562550336</v>
      </c>
      <c r="O46" s="22">
        <f t="shared" si="9"/>
        <v>47120.49562550336</v>
      </c>
      <c r="P46" s="22">
        <f t="shared" si="10"/>
        <v>0</v>
      </c>
      <c r="Q46" s="22">
        <v>31592</v>
      </c>
      <c r="R46" s="201">
        <f t="shared" si="0"/>
        <v>0.75</v>
      </c>
      <c r="S46" s="197">
        <v>331.807619094849</v>
      </c>
      <c r="T46" s="216">
        <f t="shared" si="11"/>
        <v>93</v>
      </c>
      <c r="U46" s="213"/>
      <c r="V46" s="213">
        <v>808289.4034068055</v>
      </c>
      <c r="W46" s="196">
        <f t="shared" si="12"/>
        <v>6466315.227254444</v>
      </c>
      <c r="X46" s="206">
        <f t="shared" si="1"/>
        <v>0</v>
      </c>
      <c r="Y46" s="22">
        <f t="shared" si="13"/>
        <v>6466315.227254444</v>
      </c>
      <c r="Z46" s="22" t="e">
        <f>#REF!</f>
        <v>#REF!</v>
      </c>
      <c r="AA46" s="41">
        <v>10208618</v>
      </c>
      <c r="AB46" s="22" t="e">
        <f>#REF!-AA46</f>
        <v>#REF!</v>
      </c>
      <c r="AC46" s="32" t="e">
        <f t="shared" si="3"/>
        <v>#REF!</v>
      </c>
      <c r="AD46" s="15"/>
      <c r="AE46" s="15"/>
      <c r="AF46" s="15"/>
      <c r="AG46" s="15"/>
    </row>
    <row r="47" spans="1:33" ht="12.75">
      <c r="A47" s="21">
        <v>39</v>
      </c>
      <c r="B47" s="21" t="s">
        <v>211</v>
      </c>
      <c r="C47" s="224">
        <f>'Table 4 Formula'!BA46</f>
        <v>8667211</v>
      </c>
      <c r="D47" s="322">
        <v>-86978.83005859413</v>
      </c>
      <c r="E47" s="224">
        <f t="shared" si="4"/>
        <v>8580232.169941407</v>
      </c>
      <c r="F47" s="224">
        <f>E47/'Table 4 Formula'!C46</f>
        <v>2580.5209533658367</v>
      </c>
      <c r="G47" s="22">
        <f>'[1]Comparison original &amp; adjusted'!$G44</f>
        <v>70380.3599999994</v>
      </c>
      <c r="H47" s="322">
        <f>'[1]Comparison original &amp; adjusted'!$H44</f>
        <v>0</v>
      </c>
      <c r="I47" s="387">
        <f t="shared" si="5"/>
        <v>8650612.529941406</v>
      </c>
      <c r="J47" s="41">
        <v>5573340.967341588</v>
      </c>
      <c r="K47" s="41">
        <f t="shared" si="6"/>
        <v>3077271.562599818</v>
      </c>
      <c r="L47" s="41">
        <f t="shared" si="7"/>
        <v>769317.8906499546</v>
      </c>
      <c r="M47" s="41">
        <v>8486036.92</v>
      </c>
      <c r="N47" s="194">
        <f t="shared" si="8"/>
        <v>164575.60994140618</v>
      </c>
      <c r="O47" s="22">
        <f t="shared" si="9"/>
        <v>164575.60994140618</v>
      </c>
      <c r="P47" s="22">
        <f t="shared" si="10"/>
        <v>0</v>
      </c>
      <c r="Q47" s="22">
        <v>28119</v>
      </c>
      <c r="R47" s="201">
        <f t="shared" si="0"/>
        <v>0.75</v>
      </c>
      <c r="S47" s="197">
        <v>207</v>
      </c>
      <c r="T47" s="216">
        <f t="shared" si="11"/>
        <v>522</v>
      </c>
      <c r="U47" s="213"/>
      <c r="V47" s="213">
        <v>696667.6209176985</v>
      </c>
      <c r="W47" s="196">
        <f t="shared" si="12"/>
        <v>5573340.967341588</v>
      </c>
      <c r="X47" s="206">
        <f t="shared" si="1"/>
        <v>0</v>
      </c>
      <c r="Y47" s="22">
        <f t="shared" si="13"/>
        <v>5573340.967341588</v>
      </c>
      <c r="Z47" s="22" t="e">
        <f>#REF!</f>
        <v>#REF!</v>
      </c>
      <c r="AA47" s="41">
        <v>8754881</v>
      </c>
      <c r="AB47" s="22" t="e">
        <f>#REF!-AA47</f>
        <v>#REF!</v>
      </c>
      <c r="AC47" s="32" t="e">
        <f t="shared" si="3"/>
        <v>#REF!</v>
      </c>
      <c r="AD47" s="15"/>
      <c r="AE47" s="15"/>
      <c r="AF47" s="15"/>
      <c r="AG47" s="15"/>
    </row>
    <row r="48" spans="1:33" ht="12.75">
      <c r="A48" s="34">
        <v>40</v>
      </c>
      <c r="B48" s="35" t="s">
        <v>212</v>
      </c>
      <c r="C48" s="225">
        <f>'Table 4 Formula'!BA47</f>
        <v>76432919.2206</v>
      </c>
      <c r="D48" s="323">
        <v>-767001.7297914354</v>
      </c>
      <c r="E48" s="225">
        <f t="shared" si="4"/>
        <v>75665917.49080856</v>
      </c>
      <c r="F48" s="386">
        <f>E48/'Table 4 Formula'!C47</f>
        <v>3270.9081178752676</v>
      </c>
      <c r="G48" s="36">
        <f>'[1]Comparison original &amp; adjusted'!$G45</f>
        <v>840596.0746999979</v>
      </c>
      <c r="H48" s="323">
        <f>'[1]Comparison original &amp; adjusted'!$H45</f>
        <v>0</v>
      </c>
      <c r="I48" s="388">
        <f t="shared" si="5"/>
        <v>76506513.56550856</v>
      </c>
      <c r="J48" s="43">
        <v>49924623.67230305</v>
      </c>
      <c r="K48" s="43">
        <f t="shared" si="6"/>
        <v>26581889.89320551</v>
      </c>
      <c r="L48" s="43">
        <f t="shared" si="7"/>
        <v>6645472.473301377</v>
      </c>
      <c r="M48" s="43">
        <v>73295549.8769</v>
      </c>
      <c r="N48" s="195">
        <f t="shared" si="8"/>
        <v>3210963.688608557</v>
      </c>
      <c r="O48" s="36">
        <f t="shared" si="9"/>
        <v>3210963.688608557</v>
      </c>
      <c r="P48" s="36">
        <f t="shared" si="10"/>
        <v>0</v>
      </c>
      <c r="Q48" s="36">
        <v>29592</v>
      </c>
      <c r="R48" s="202">
        <f t="shared" si="0"/>
        <v>0.75</v>
      </c>
      <c r="S48" s="198">
        <v>1613.93333351612</v>
      </c>
      <c r="T48" s="217">
        <f t="shared" si="11"/>
        <v>1307</v>
      </c>
      <c r="U48" s="213"/>
      <c r="V48" s="213">
        <v>6240577.959037881</v>
      </c>
      <c r="W48" s="196">
        <f t="shared" si="12"/>
        <v>49924623.67230305</v>
      </c>
      <c r="X48" s="207">
        <f t="shared" si="1"/>
        <v>0</v>
      </c>
      <c r="Y48" s="36">
        <f t="shared" si="13"/>
        <v>49924623.67230305</v>
      </c>
      <c r="Z48" s="36" t="e">
        <f>#REF!</f>
        <v>#REF!</v>
      </c>
      <c r="AA48" s="43">
        <v>73122734</v>
      </c>
      <c r="AB48" s="36" t="e">
        <f>#REF!-AA48</f>
        <v>#REF!</v>
      </c>
      <c r="AC48" s="37" t="e">
        <f t="shared" si="3"/>
        <v>#REF!</v>
      </c>
      <c r="AD48" s="15"/>
      <c r="AE48" s="15"/>
      <c r="AF48" s="15"/>
      <c r="AG48" s="15"/>
    </row>
    <row r="49" spans="1:33" ht="12.75">
      <c r="A49" s="21">
        <v>41</v>
      </c>
      <c r="B49" s="21" t="s">
        <v>213</v>
      </c>
      <c r="C49" s="224">
        <f>'Table 4 Formula'!BA48</f>
        <v>8665559.012</v>
      </c>
      <c r="D49" s="322">
        <v>-86958.91501164522</v>
      </c>
      <c r="E49" s="224">
        <f t="shared" si="4"/>
        <v>8578600.096988356</v>
      </c>
      <c r="F49" s="224">
        <f>E49/'Table 4 Formula'!C48</f>
        <v>4718.701923535949</v>
      </c>
      <c r="G49" s="22">
        <f>'[1]Comparison original &amp; adjusted'!$G46</f>
        <v>31336.348300000653</v>
      </c>
      <c r="H49" s="322">
        <f>'[1]Comparison original &amp; adjusted'!$H46</f>
        <v>0</v>
      </c>
      <c r="I49" s="387">
        <f t="shared" si="5"/>
        <v>8609936.445288356</v>
      </c>
      <c r="J49" s="41">
        <v>5615568.337804952</v>
      </c>
      <c r="K49" s="41">
        <f t="shared" si="6"/>
        <v>2994368.1074834047</v>
      </c>
      <c r="L49" s="41">
        <f t="shared" si="7"/>
        <v>748592.0268708512</v>
      </c>
      <c r="M49" s="41">
        <v>8324452.732799999</v>
      </c>
      <c r="N49" s="194">
        <f t="shared" si="8"/>
        <v>285483.712488357</v>
      </c>
      <c r="O49" s="22">
        <f t="shared" si="9"/>
        <v>285483.712488357</v>
      </c>
      <c r="P49" s="22">
        <f t="shared" si="10"/>
        <v>0</v>
      </c>
      <c r="Q49" s="22">
        <v>25463</v>
      </c>
      <c r="R49" s="201">
        <f t="shared" si="0"/>
        <v>0.75</v>
      </c>
      <c r="S49" s="197">
        <v>179.752380973659</v>
      </c>
      <c r="T49" s="216">
        <f t="shared" si="11"/>
        <v>1043</v>
      </c>
      <c r="U49" s="213"/>
      <c r="V49" s="213">
        <v>701946.042225619</v>
      </c>
      <c r="W49" s="196">
        <f t="shared" si="12"/>
        <v>5615568.337804952</v>
      </c>
      <c r="X49" s="206">
        <f t="shared" si="1"/>
        <v>0</v>
      </c>
      <c r="Y49" s="22">
        <f t="shared" si="13"/>
        <v>5615568.337804952</v>
      </c>
      <c r="Z49" s="22" t="e">
        <f>#REF!</f>
        <v>#REF!</v>
      </c>
      <c r="AA49" s="41">
        <v>7973359</v>
      </c>
      <c r="AB49" s="22" t="e">
        <f>#REF!-AA49</f>
        <v>#REF!</v>
      </c>
      <c r="AC49" s="32" t="e">
        <f t="shared" si="3"/>
        <v>#REF!</v>
      </c>
      <c r="AD49" s="15"/>
      <c r="AE49" s="15"/>
      <c r="AF49" s="15"/>
      <c r="AG49" s="15"/>
    </row>
    <row r="50" spans="1:33" ht="12.75">
      <c r="A50" s="21">
        <v>42</v>
      </c>
      <c r="B50" s="21" t="s">
        <v>214</v>
      </c>
      <c r="C50" s="224">
        <f>'Table 4 Formula'!BA49</f>
        <v>14451115.756</v>
      </c>
      <c r="D50" s="322">
        <v>-145019.75873534157</v>
      </c>
      <c r="E50" s="224">
        <f t="shared" si="4"/>
        <v>14306095.997264657</v>
      </c>
      <c r="F50" s="224">
        <f>E50/'Table 4 Formula'!C49</f>
        <v>3804.812765229962</v>
      </c>
      <c r="G50" s="22">
        <f>'[1]Comparison original &amp; adjusted'!$G47</f>
        <v>74227.43930000067</v>
      </c>
      <c r="H50" s="322">
        <f>'[1]Comparison original &amp; adjusted'!$H47</f>
        <v>0</v>
      </c>
      <c r="I50" s="387">
        <f t="shared" si="5"/>
        <v>14380323.436564658</v>
      </c>
      <c r="J50" s="41">
        <v>9039881.823495034</v>
      </c>
      <c r="K50" s="41">
        <f t="shared" si="6"/>
        <v>5340441.613069624</v>
      </c>
      <c r="L50" s="41">
        <f t="shared" si="7"/>
        <v>1335110.403267406</v>
      </c>
      <c r="M50" s="41">
        <v>13572413.2351</v>
      </c>
      <c r="N50" s="194">
        <f t="shared" si="8"/>
        <v>807910.2014646586</v>
      </c>
      <c r="O50" s="22">
        <f t="shared" si="9"/>
        <v>807910.2014646586</v>
      </c>
      <c r="P50" s="22">
        <f t="shared" si="10"/>
        <v>0</v>
      </c>
      <c r="Q50" s="22">
        <v>26846</v>
      </c>
      <c r="R50" s="201">
        <f t="shared" si="0"/>
        <v>0.75</v>
      </c>
      <c r="S50" s="197">
        <v>296.666666686535</v>
      </c>
      <c r="T50" s="216">
        <f t="shared" si="11"/>
        <v>1789</v>
      </c>
      <c r="U50" s="213"/>
      <c r="V50" s="213">
        <v>1129985.2279368793</v>
      </c>
      <c r="W50" s="196">
        <f t="shared" si="12"/>
        <v>9039881.823495034</v>
      </c>
      <c r="X50" s="206">
        <f t="shared" si="1"/>
        <v>0</v>
      </c>
      <c r="Y50" s="22">
        <f t="shared" si="13"/>
        <v>9039881.823495034</v>
      </c>
      <c r="Z50" s="22" t="e">
        <f>#REF!</f>
        <v>#REF!</v>
      </c>
      <c r="AA50" s="41">
        <v>14488449</v>
      </c>
      <c r="AB50" s="22" t="e">
        <f>#REF!-AA50</f>
        <v>#REF!</v>
      </c>
      <c r="AC50" s="32" t="e">
        <f t="shared" si="3"/>
        <v>#REF!</v>
      </c>
      <c r="AD50" s="15"/>
      <c r="AE50" s="15"/>
      <c r="AF50" s="15"/>
      <c r="AG50" s="15"/>
    </row>
    <row r="51" spans="1:33" ht="12.75">
      <c r="A51" s="21">
        <v>43</v>
      </c>
      <c r="B51" s="21" t="s">
        <v>215</v>
      </c>
      <c r="C51" s="224">
        <f>'Table 4 Formula'!BA50</f>
        <v>15471480.6091</v>
      </c>
      <c r="D51" s="322">
        <v>-155258.5134279108</v>
      </c>
      <c r="E51" s="224">
        <f t="shared" si="4"/>
        <v>15316222.095672088</v>
      </c>
      <c r="F51" s="224">
        <f>E51/'Table 4 Formula'!C50</f>
        <v>3597.891025527857</v>
      </c>
      <c r="G51" s="22">
        <f>'[1]Comparison original &amp; adjusted'!$G48</f>
        <v>99627.2313000001</v>
      </c>
      <c r="H51" s="322">
        <f>'[1]Comparison original &amp; adjusted'!$H48</f>
        <v>0</v>
      </c>
      <c r="I51" s="387">
        <f t="shared" si="5"/>
        <v>15415849.326972088</v>
      </c>
      <c r="J51" s="41">
        <v>10129989.164776755</v>
      </c>
      <c r="K51" s="41">
        <f t="shared" si="6"/>
        <v>5285860.162195332</v>
      </c>
      <c r="L51" s="41">
        <f t="shared" si="7"/>
        <v>1321465.040548833</v>
      </c>
      <c r="M51" s="41">
        <v>15142356.8397</v>
      </c>
      <c r="N51" s="194">
        <f t="shared" si="8"/>
        <v>273492.4872720875</v>
      </c>
      <c r="O51" s="22">
        <f t="shared" si="9"/>
        <v>273492.4872720875</v>
      </c>
      <c r="P51" s="22">
        <f t="shared" si="10"/>
        <v>0</v>
      </c>
      <c r="Q51" s="22">
        <v>29383</v>
      </c>
      <c r="R51" s="201">
        <f t="shared" si="0"/>
        <v>0.75</v>
      </c>
      <c r="S51" s="197">
        <v>300</v>
      </c>
      <c r="T51" s="216">
        <f t="shared" si="11"/>
        <v>599</v>
      </c>
      <c r="U51" s="213"/>
      <c r="V51" s="213">
        <v>1266248.6455970944</v>
      </c>
      <c r="W51" s="196">
        <f t="shared" si="12"/>
        <v>10129989.164776755</v>
      </c>
      <c r="X51" s="206">
        <f t="shared" si="1"/>
        <v>0</v>
      </c>
      <c r="Y51" s="22">
        <f t="shared" si="13"/>
        <v>10129989.164776755</v>
      </c>
      <c r="Z51" s="22" t="e">
        <f>#REF!</f>
        <v>#REF!</v>
      </c>
      <c r="AA51" s="41">
        <v>15055859</v>
      </c>
      <c r="AB51" s="22" t="e">
        <f>#REF!-AA51</f>
        <v>#REF!</v>
      </c>
      <c r="AC51" s="32" t="e">
        <f t="shared" si="3"/>
        <v>#REF!</v>
      </c>
      <c r="AD51" s="15"/>
      <c r="AE51" s="15"/>
      <c r="AF51" s="15"/>
      <c r="AG51" s="15"/>
    </row>
    <row r="52" spans="1:33" ht="12.75">
      <c r="A52" s="21">
        <v>44</v>
      </c>
      <c r="B52" s="21" t="s">
        <v>216</v>
      </c>
      <c r="C52" s="224">
        <f>'Table 4 Formula'!BA51</f>
        <v>24966966.5021</v>
      </c>
      <c r="D52" s="322">
        <v>-250544.26472643754</v>
      </c>
      <c r="E52" s="224">
        <f t="shared" si="4"/>
        <v>24716422.23737356</v>
      </c>
      <c r="F52" s="224">
        <f>E52/'Table 4 Formula'!C51</f>
        <v>2926.0592207142845</v>
      </c>
      <c r="G52" s="22">
        <f>'[1]Comparison original &amp; adjusted'!$G49</f>
        <v>294191.9191999994</v>
      </c>
      <c r="H52" s="322">
        <f>'[1]Comparison original &amp; adjusted'!$H49</f>
        <v>0</v>
      </c>
      <c r="I52" s="387">
        <f t="shared" si="5"/>
        <v>25010614.15657356</v>
      </c>
      <c r="J52" s="41">
        <v>16170905.461475218</v>
      </c>
      <c r="K52" s="41">
        <f t="shared" si="6"/>
        <v>8839708.695098342</v>
      </c>
      <c r="L52" s="41">
        <f t="shared" si="7"/>
        <v>2209927.1737745856</v>
      </c>
      <c r="M52" s="41">
        <v>24294007.7467</v>
      </c>
      <c r="N52" s="194">
        <f t="shared" si="8"/>
        <v>716606.4098735601</v>
      </c>
      <c r="O52" s="22">
        <f t="shared" si="9"/>
        <v>716606.4098735601</v>
      </c>
      <c r="P52" s="22">
        <f t="shared" si="10"/>
        <v>0</v>
      </c>
      <c r="Q52" s="22">
        <v>30518</v>
      </c>
      <c r="R52" s="201">
        <f t="shared" si="0"/>
        <v>0.75</v>
      </c>
      <c r="S52" s="197">
        <v>611.925714313984</v>
      </c>
      <c r="T52" s="216">
        <f t="shared" si="11"/>
        <v>769</v>
      </c>
      <c r="U52" s="213"/>
      <c r="V52" s="213">
        <v>2021363.1826844022</v>
      </c>
      <c r="W52" s="196">
        <f t="shared" si="12"/>
        <v>16170905.461475218</v>
      </c>
      <c r="X52" s="206">
        <f t="shared" si="1"/>
        <v>0</v>
      </c>
      <c r="Y52" s="22">
        <f t="shared" si="13"/>
        <v>16170905.461475218</v>
      </c>
      <c r="Z52" s="22" t="e">
        <f>#REF!</f>
        <v>#REF!</v>
      </c>
      <c r="AA52" s="41">
        <v>25563237</v>
      </c>
      <c r="AB52" s="22" t="e">
        <f>#REF!-AA52</f>
        <v>#REF!</v>
      </c>
      <c r="AC52" s="32" t="e">
        <f t="shared" si="3"/>
        <v>#REF!</v>
      </c>
      <c r="AD52" s="15"/>
      <c r="AE52" s="15"/>
      <c r="AF52" s="15"/>
      <c r="AG52" s="15"/>
    </row>
    <row r="53" spans="1:33" ht="12.75">
      <c r="A53" s="34">
        <v>45</v>
      </c>
      <c r="B53" s="35" t="s">
        <v>217</v>
      </c>
      <c r="C53" s="225">
        <f>'Table 4 Formula'!BA52</f>
        <v>21846470.9</v>
      </c>
      <c r="D53" s="323">
        <v>-219237.82412113616</v>
      </c>
      <c r="E53" s="225">
        <f t="shared" si="4"/>
        <v>21627233.075878862</v>
      </c>
      <c r="F53" s="386">
        <f>E53/'Table 4 Formula'!C52</f>
        <v>2234.449124483817</v>
      </c>
      <c r="G53" s="36">
        <f>'[1]Comparison original &amp; adjusted'!$G50</f>
        <v>0</v>
      </c>
      <c r="H53" s="323">
        <f>'[1]Comparison original &amp; adjusted'!$H50</f>
        <v>-9028.400000002235</v>
      </c>
      <c r="I53" s="388">
        <f t="shared" si="5"/>
        <v>21618204.67587886</v>
      </c>
      <c r="J53" s="43">
        <v>14490637.545469588</v>
      </c>
      <c r="K53" s="43">
        <f t="shared" si="6"/>
        <v>7127567.130409272</v>
      </c>
      <c r="L53" s="43">
        <f t="shared" si="7"/>
        <v>1781891.782602318</v>
      </c>
      <c r="M53" s="43">
        <v>21601640.5</v>
      </c>
      <c r="N53" s="195">
        <f t="shared" si="8"/>
        <v>16564.175878860056</v>
      </c>
      <c r="O53" s="36">
        <f t="shared" si="9"/>
        <v>16564.175878860056</v>
      </c>
      <c r="P53" s="36">
        <f t="shared" si="10"/>
        <v>0</v>
      </c>
      <c r="Q53" s="36">
        <v>35925</v>
      </c>
      <c r="R53" s="202">
        <f t="shared" si="0"/>
        <v>0.75</v>
      </c>
      <c r="S53" s="198">
        <v>764.476428493857</v>
      </c>
      <c r="T53" s="217">
        <f t="shared" si="11"/>
        <v>14</v>
      </c>
      <c r="U53" s="213"/>
      <c r="V53" s="213">
        <v>1811329.6931836985</v>
      </c>
      <c r="W53" s="196">
        <f t="shared" si="12"/>
        <v>14490637.545469588</v>
      </c>
      <c r="X53" s="207">
        <f t="shared" si="1"/>
        <v>0</v>
      </c>
      <c r="Y53" s="36">
        <f t="shared" si="13"/>
        <v>14490637.545469588</v>
      </c>
      <c r="Z53" s="36" t="e">
        <f>#REF!</f>
        <v>#REF!</v>
      </c>
      <c r="AA53" s="43">
        <v>21964873</v>
      </c>
      <c r="AB53" s="36" t="e">
        <f>#REF!-AA53</f>
        <v>#REF!</v>
      </c>
      <c r="AC53" s="37" t="e">
        <f t="shared" si="3"/>
        <v>#REF!</v>
      </c>
      <c r="AD53" s="15"/>
      <c r="AE53" s="15"/>
      <c r="AF53" s="15"/>
      <c r="AG53" s="15"/>
    </row>
    <row r="54" spans="1:33" ht="12.75">
      <c r="A54" s="21">
        <v>46</v>
      </c>
      <c r="B54" s="21" t="s">
        <v>218</v>
      </c>
      <c r="C54" s="224">
        <f>'Table 4 Formula'!BA53</f>
        <v>5848173.9811</v>
      </c>
      <c r="D54" s="322">
        <v>-58688.88279094246</v>
      </c>
      <c r="E54" s="224">
        <f t="shared" si="4"/>
        <v>5789485.098309058</v>
      </c>
      <c r="F54" s="224">
        <f>E54/'Table 4 Formula'!C53</f>
        <v>4120.629963209294</v>
      </c>
      <c r="G54" s="22">
        <f>'[1]Comparison original &amp; adjusted'!$G51</f>
        <v>0</v>
      </c>
      <c r="H54" s="322">
        <f>'[1]Comparison original &amp; adjusted'!$H51</f>
        <v>-15882.704400000162</v>
      </c>
      <c r="I54" s="387">
        <f t="shared" si="5"/>
        <v>5773602.393909058</v>
      </c>
      <c r="J54" s="41">
        <v>4091620.320896262</v>
      </c>
      <c r="K54" s="41">
        <f t="shared" si="6"/>
        <v>1681982.0730127958</v>
      </c>
      <c r="L54" s="41">
        <f t="shared" si="7"/>
        <v>420495.51825319894</v>
      </c>
      <c r="M54" s="41">
        <v>6085925.4911</v>
      </c>
      <c r="N54" s="194">
        <f t="shared" si="8"/>
        <v>-312323.0971909426</v>
      </c>
      <c r="O54" s="22">
        <f t="shared" si="9"/>
        <v>0</v>
      </c>
      <c r="P54" s="22">
        <f t="shared" si="10"/>
        <v>-312323.0971909426</v>
      </c>
      <c r="Q54" s="22">
        <v>28146</v>
      </c>
      <c r="R54" s="201">
        <f t="shared" si="0"/>
        <v>0.75</v>
      </c>
      <c r="S54" s="197">
        <v>100.7257142663</v>
      </c>
      <c r="T54" s="216">
        <f t="shared" si="11"/>
        <v>0</v>
      </c>
      <c r="U54" s="213"/>
      <c r="V54" s="213">
        <v>511452.54011203273</v>
      </c>
      <c r="W54" s="196">
        <f t="shared" si="12"/>
        <v>4091620.320896262</v>
      </c>
      <c r="X54" s="206">
        <f t="shared" si="1"/>
        <v>0</v>
      </c>
      <c r="Y54" s="22">
        <f t="shared" si="13"/>
        <v>4091620.320896262</v>
      </c>
      <c r="Z54" s="22" t="e">
        <f>#REF!</f>
        <v>#REF!</v>
      </c>
      <c r="AA54" s="41">
        <v>6058824</v>
      </c>
      <c r="AB54" s="22" t="e">
        <f>#REF!-AA54</f>
        <v>#REF!</v>
      </c>
      <c r="AC54" s="32" t="e">
        <f t="shared" si="3"/>
        <v>#REF!</v>
      </c>
      <c r="AD54" s="15"/>
      <c r="AE54" s="15"/>
      <c r="AF54" s="15"/>
      <c r="AG54" s="15"/>
    </row>
    <row r="55" spans="1:33" ht="12.75">
      <c r="A55" s="21">
        <v>47</v>
      </c>
      <c r="B55" s="21" t="s">
        <v>219</v>
      </c>
      <c r="C55" s="224">
        <f>'Table 4 Formula'!BA54</f>
        <v>9397356.82</v>
      </c>
      <c r="D55" s="322">
        <v>-94306.12689054181</v>
      </c>
      <c r="E55" s="224">
        <f t="shared" si="4"/>
        <v>9303050.693109458</v>
      </c>
      <c r="F55" s="224">
        <f>E55/'Table 4 Formula'!C54</f>
        <v>2406.3762786108273</v>
      </c>
      <c r="G55" s="22">
        <f>'[1]Comparison original &amp; adjusted'!$G52</f>
        <v>0</v>
      </c>
      <c r="H55" s="322">
        <f>'[1]Comparison original &amp; adjusted'!$H52</f>
        <v>-68061.56000000052</v>
      </c>
      <c r="I55" s="387">
        <f t="shared" si="5"/>
        <v>9234989.133109458</v>
      </c>
      <c r="J55" s="41">
        <v>6249577.6179688275</v>
      </c>
      <c r="K55" s="41">
        <f t="shared" si="6"/>
        <v>2985411.5151406303</v>
      </c>
      <c r="L55" s="41">
        <f t="shared" si="7"/>
        <v>746352.8787851576</v>
      </c>
      <c r="M55" s="41">
        <v>9547145.84</v>
      </c>
      <c r="N55" s="194">
        <f t="shared" si="8"/>
        <v>-312156.70689054206</v>
      </c>
      <c r="O55" s="22">
        <f t="shared" si="9"/>
        <v>0</v>
      </c>
      <c r="P55" s="22">
        <f t="shared" si="10"/>
        <v>-312156.70689054206</v>
      </c>
      <c r="Q55" s="22">
        <v>35116</v>
      </c>
      <c r="R55" s="201">
        <f t="shared" si="0"/>
        <v>0.75</v>
      </c>
      <c r="S55" s="197">
        <v>279.466666668653</v>
      </c>
      <c r="T55" s="216">
        <f t="shared" si="11"/>
        <v>0</v>
      </c>
      <c r="U55" s="213"/>
      <c r="V55" s="213">
        <v>781197.2022461034</v>
      </c>
      <c r="W55" s="196">
        <f t="shared" si="12"/>
        <v>6249577.6179688275</v>
      </c>
      <c r="X55" s="206">
        <f t="shared" si="1"/>
        <v>0</v>
      </c>
      <c r="Y55" s="22">
        <f t="shared" si="13"/>
        <v>6249577.6179688275</v>
      </c>
      <c r="Z55" s="22" t="e">
        <f>#REF!</f>
        <v>#REF!</v>
      </c>
      <c r="AA55" s="41">
        <v>10021390</v>
      </c>
      <c r="AB55" s="22" t="e">
        <f>#REF!-AA55</f>
        <v>#REF!</v>
      </c>
      <c r="AC55" s="32" t="e">
        <f t="shared" si="3"/>
        <v>#REF!</v>
      </c>
      <c r="AD55" s="15"/>
      <c r="AE55" s="15"/>
      <c r="AF55" s="15"/>
      <c r="AG55" s="15"/>
    </row>
    <row r="56" spans="1:33" ht="12.75">
      <c r="A56" s="21">
        <v>48</v>
      </c>
      <c r="B56" s="21" t="s">
        <v>220</v>
      </c>
      <c r="C56" s="224">
        <f>'Table 4 Formula'!BA55</f>
        <v>22915858.7486</v>
      </c>
      <c r="D56" s="322">
        <v>-229962.01958051624</v>
      </c>
      <c r="E56" s="224">
        <f t="shared" si="4"/>
        <v>22685896.72901948</v>
      </c>
      <c r="F56" s="224">
        <f>E56/'Table 4 Formula'!C55</f>
        <v>3565.283157161635</v>
      </c>
      <c r="G56" s="22">
        <f>'[1]Comparison original &amp; adjusted'!$G53</f>
        <v>292246.1132000014</v>
      </c>
      <c r="H56" s="322">
        <f>'[1]Comparison original &amp; adjusted'!$H53</f>
        <v>0</v>
      </c>
      <c r="I56" s="387">
        <f t="shared" si="5"/>
        <v>22978142.842219483</v>
      </c>
      <c r="J56" s="41">
        <v>13826502.543885445</v>
      </c>
      <c r="K56" s="41">
        <f t="shared" si="6"/>
        <v>9151640.298334038</v>
      </c>
      <c r="L56" s="41">
        <f t="shared" si="7"/>
        <v>2287910.0745835095</v>
      </c>
      <c r="M56" s="41">
        <v>20768748.7519</v>
      </c>
      <c r="N56" s="194">
        <f t="shared" si="8"/>
        <v>2209394.0903194845</v>
      </c>
      <c r="O56" s="22">
        <f t="shared" si="9"/>
        <v>2209394.0903194845</v>
      </c>
      <c r="P56" s="22">
        <f t="shared" si="10"/>
        <v>0</v>
      </c>
      <c r="Q56" s="22">
        <v>30790</v>
      </c>
      <c r="R56" s="201">
        <f t="shared" si="0"/>
        <v>0.75</v>
      </c>
      <c r="S56" s="197">
        <v>464</v>
      </c>
      <c r="T56" s="216">
        <f t="shared" si="11"/>
        <v>3127</v>
      </c>
      <c r="U56" s="213"/>
      <c r="V56" s="213">
        <v>1728312.8179856807</v>
      </c>
      <c r="W56" s="196">
        <f t="shared" si="12"/>
        <v>13826502.543885445</v>
      </c>
      <c r="X56" s="206">
        <f t="shared" si="1"/>
        <v>0</v>
      </c>
      <c r="Y56" s="22">
        <f t="shared" si="13"/>
        <v>13826502.543885445</v>
      </c>
      <c r="Z56" s="22" t="e">
        <f>#REF!</f>
        <v>#REF!</v>
      </c>
      <c r="AA56" s="41">
        <v>21031677</v>
      </c>
      <c r="AB56" s="22" t="e">
        <f>#REF!-AA56</f>
        <v>#REF!</v>
      </c>
      <c r="AC56" s="32" t="e">
        <f t="shared" si="3"/>
        <v>#REF!</v>
      </c>
      <c r="AD56" s="15"/>
      <c r="AE56" s="15"/>
      <c r="AF56" s="15"/>
      <c r="AG56" s="15"/>
    </row>
    <row r="57" spans="1:33" ht="12.75">
      <c r="A57" s="21">
        <v>49</v>
      </c>
      <c r="B57" s="21" t="s">
        <v>221</v>
      </c>
      <c r="C57" s="224">
        <f>'Table 4 Formula'!BA56</f>
        <v>56298936.0993</v>
      </c>
      <c r="D57" s="322">
        <v>-564972.5461892694</v>
      </c>
      <c r="E57" s="224">
        <f t="shared" si="4"/>
        <v>55733963.553110726</v>
      </c>
      <c r="F57" s="224">
        <f>E57/'Table 4 Formula'!C56</f>
        <v>3604.343500815542</v>
      </c>
      <c r="G57" s="22">
        <f>'[1]Comparison original &amp; adjusted'!$G54</f>
        <v>303457.6667999998</v>
      </c>
      <c r="H57" s="322">
        <f>'[1]Comparison original &amp; adjusted'!$H54</f>
        <v>0</v>
      </c>
      <c r="I57" s="387">
        <f t="shared" si="5"/>
        <v>56037421.219910726</v>
      </c>
      <c r="J57" s="41">
        <v>34438597.40066715</v>
      </c>
      <c r="K57" s="41">
        <f t="shared" si="6"/>
        <v>21598823.819243573</v>
      </c>
      <c r="L57" s="41">
        <f t="shared" si="7"/>
        <v>5399705.954810893</v>
      </c>
      <c r="M57" s="41">
        <v>51624170.2586</v>
      </c>
      <c r="N57" s="194">
        <f t="shared" si="8"/>
        <v>4413250.961310729</v>
      </c>
      <c r="O57" s="22">
        <f t="shared" si="9"/>
        <v>4413250.961310729</v>
      </c>
      <c r="P57" s="22">
        <f t="shared" si="10"/>
        <v>0</v>
      </c>
      <c r="Q57" s="22">
        <v>31879</v>
      </c>
      <c r="R57" s="201">
        <f t="shared" si="0"/>
        <v>0.75</v>
      </c>
      <c r="S57" s="197">
        <v>1059.25714298338</v>
      </c>
      <c r="T57" s="216">
        <f t="shared" si="11"/>
        <v>2736</v>
      </c>
      <c r="U57" s="213"/>
      <c r="V57" s="213">
        <v>4304824.675083394</v>
      </c>
      <c r="W57" s="196">
        <f t="shared" si="12"/>
        <v>34438597.40066715</v>
      </c>
      <c r="X57" s="206">
        <f t="shared" si="1"/>
        <v>0</v>
      </c>
      <c r="Y57" s="22">
        <f t="shared" si="13"/>
        <v>34438597.40066715</v>
      </c>
      <c r="Z57" s="22" t="e">
        <f>#REF!</f>
        <v>#REF!</v>
      </c>
      <c r="AA57" s="41">
        <v>51365981</v>
      </c>
      <c r="AB57" s="22" t="e">
        <f>#REF!-AA57</f>
        <v>#REF!</v>
      </c>
      <c r="AC57" s="32" t="e">
        <f t="shared" si="3"/>
        <v>#REF!</v>
      </c>
      <c r="AD57" s="15"/>
      <c r="AE57" s="15"/>
      <c r="AF57" s="15"/>
      <c r="AG57" s="15"/>
    </row>
    <row r="58" spans="1:33" ht="12.75">
      <c r="A58" s="34">
        <v>50</v>
      </c>
      <c r="B58" s="35" t="s">
        <v>222</v>
      </c>
      <c r="C58" s="225">
        <f>'Table 4 Formula'!BA57</f>
        <v>32173892.8273</v>
      </c>
      <c r="D58" s="323">
        <v>-322869.9457622332</v>
      </c>
      <c r="E58" s="225">
        <f t="shared" si="4"/>
        <v>31851022.88153777</v>
      </c>
      <c r="F58" s="386">
        <f>E58/'Table 4 Formula'!C57</f>
        <v>3721.783463605722</v>
      </c>
      <c r="G58" s="36">
        <f>'[1]Comparison original &amp; adjusted'!$G55</f>
        <v>236383.40350000188</v>
      </c>
      <c r="H58" s="323">
        <f>'[1]Comparison original &amp; adjusted'!$H55</f>
        <v>0</v>
      </c>
      <c r="I58" s="388">
        <f t="shared" si="5"/>
        <v>32087406.28503777</v>
      </c>
      <c r="J58" s="43">
        <v>20644835.51073615</v>
      </c>
      <c r="K58" s="43">
        <f t="shared" si="6"/>
        <v>11442570.774301622</v>
      </c>
      <c r="L58" s="43">
        <f t="shared" si="7"/>
        <v>2860642.6935754055</v>
      </c>
      <c r="M58" s="43">
        <v>30649851.9511</v>
      </c>
      <c r="N58" s="195">
        <f t="shared" si="8"/>
        <v>1437554.3339377716</v>
      </c>
      <c r="O58" s="36">
        <f t="shared" si="9"/>
        <v>1437554.3339377716</v>
      </c>
      <c r="P58" s="36">
        <f t="shared" si="10"/>
        <v>0</v>
      </c>
      <c r="Q58" s="36">
        <v>31386</v>
      </c>
      <c r="R58" s="202">
        <f t="shared" si="0"/>
        <v>0.75</v>
      </c>
      <c r="S58" s="198">
        <v>590.450476109982</v>
      </c>
      <c r="T58" s="217">
        <f t="shared" si="11"/>
        <v>1599</v>
      </c>
      <c r="U58" s="213"/>
      <c r="V58" s="213">
        <v>2580604.4388420186</v>
      </c>
      <c r="W58" s="196">
        <f t="shared" si="12"/>
        <v>20644835.51073615</v>
      </c>
      <c r="X58" s="207">
        <f t="shared" si="1"/>
        <v>0</v>
      </c>
      <c r="Y58" s="36">
        <f t="shared" si="13"/>
        <v>20644835.51073615</v>
      </c>
      <c r="Z58" s="36" t="e">
        <f>#REF!</f>
        <v>#REF!</v>
      </c>
      <c r="AA58" s="43">
        <v>31020499</v>
      </c>
      <c r="AB58" s="36" t="e">
        <f>#REF!-AA58</f>
        <v>#REF!</v>
      </c>
      <c r="AC58" s="37" t="e">
        <f t="shared" si="3"/>
        <v>#REF!</v>
      </c>
      <c r="AD58" s="15"/>
      <c r="AE58" s="15"/>
      <c r="AF58" s="15"/>
      <c r="AG58" s="15"/>
    </row>
    <row r="59" spans="1:33" ht="12.75">
      <c r="A59" s="21">
        <v>51</v>
      </c>
      <c r="B59" s="21" t="s">
        <v>223</v>
      </c>
      <c r="C59" s="224">
        <f>'Table 4 Formula'!BA58</f>
        <v>33837968.2114</v>
      </c>
      <c r="D59" s="322">
        <v>-339571.1151046649</v>
      </c>
      <c r="E59" s="224">
        <f t="shared" si="4"/>
        <v>33498397.096295338</v>
      </c>
      <c r="F59" s="224">
        <f>E59/'Table 4 Formula'!C58</f>
        <v>3179.4226553051762</v>
      </c>
      <c r="G59" s="22">
        <f>'[1]Comparison original &amp; adjusted'!$G56</f>
        <v>314524.50019999966</v>
      </c>
      <c r="H59" s="322">
        <f>'[1]Comparison original &amp; adjusted'!$H56</f>
        <v>0</v>
      </c>
      <c r="I59" s="387">
        <f t="shared" si="5"/>
        <v>33812921.59649534</v>
      </c>
      <c r="J59" s="41">
        <v>21591982.20149961</v>
      </c>
      <c r="K59" s="41">
        <f t="shared" si="6"/>
        <v>12220939.394995727</v>
      </c>
      <c r="L59" s="41">
        <f t="shared" si="7"/>
        <v>3055234.8487489317</v>
      </c>
      <c r="M59" s="41">
        <v>32128532.3148</v>
      </c>
      <c r="N59" s="194">
        <f t="shared" si="8"/>
        <v>1684389.281695336</v>
      </c>
      <c r="O59" s="22">
        <f t="shared" si="9"/>
        <v>1684389.281695336</v>
      </c>
      <c r="P59" s="22">
        <f t="shared" si="10"/>
        <v>0</v>
      </c>
      <c r="Q59" s="22">
        <v>33223</v>
      </c>
      <c r="R59" s="201">
        <f t="shared" si="0"/>
        <v>0.75</v>
      </c>
      <c r="S59" s="197">
        <v>715.583333313465</v>
      </c>
      <c r="T59" s="216">
        <f t="shared" si="11"/>
        <v>1546</v>
      </c>
      <c r="U59" s="213"/>
      <c r="V59" s="213">
        <v>2698997.7751874514</v>
      </c>
      <c r="W59" s="196">
        <f t="shared" si="12"/>
        <v>21591982.20149961</v>
      </c>
      <c r="X59" s="206">
        <f t="shared" si="1"/>
        <v>0</v>
      </c>
      <c r="Y59" s="22">
        <f t="shared" si="13"/>
        <v>21591982.20149961</v>
      </c>
      <c r="Z59" s="22" t="e">
        <f>#REF!</f>
        <v>#REF!</v>
      </c>
      <c r="AA59" s="41">
        <v>31296710</v>
      </c>
      <c r="AB59" s="22" t="e">
        <f>#REF!-AA59</f>
        <v>#REF!</v>
      </c>
      <c r="AC59" s="32" t="e">
        <f t="shared" si="3"/>
        <v>#REF!</v>
      </c>
      <c r="AD59" s="15"/>
      <c r="AE59" s="15"/>
      <c r="AF59" s="15"/>
      <c r="AG59" s="15"/>
    </row>
    <row r="60" spans="1:33" ht="12.75">
      <c r="A60" s="21">
        <v>52</v>
      </c>
      <c r="B60" s="21" t="s">
        <v>224</v>
      </c>
      <c r="C60" s="224">
        <f>'Table 4 Formula'!BA59</f>
        <v>117972981.004</v>
      </c>
      <c r="D60" s="322">
        <v>-1183860.1422499663</v>
      </c>
      <c r="E60" s="224">
        <f t="shared" si="4"/>
        <v>116789120.86175002</v>
      </c>
      <c r="F60" s="224">
        <f>E60/'Table 4 Formula'!C59</f>
        <v>3593.2902855747348</v>
      </c>
      <c r="G60" s="22">
        <f>'[1]Comparison original &amp; adjusted'!$G57</f>
        <v>953088.4596000016</v>
      </c>
      <c r="H60" s="322">
        <f>'[1]Comparison original &amp; adjusted'!$H57</f>
        <v>0</v>
      </c>
      <c r="I60" s="387">
        <f t="shared" si="5"/>
        <v>117742209.32135002</v>
      </c>
      <c r="J60" s="41">
        <v>78178672.8903887</v>
      </c>
      <c r="K60" s="41">
        <f t="shared" si="6"/>
        <v>39563536.430961326</v>
      </c>
      <c r="L60" s="41">
        <f t="shared" si="7"/>
        <v>9890884.107740331</v>
      </c>
      <c r="M60" s="41">
        <v>112824279.9826</v>
      </c>
      <c r="N60" s="194">
        <f t="shared" si="8"/>
        <v>4917929.33875002</v>
      </c>
      <c r="O60" s="22">
        <f t="shared" si="9"/>
        <v>4917929.33875002</v>
      </c>
      <c r="P60" s="22">
        <f t="shared" si="10"/>
        <v>0</v>
      </c>
      <c r="Q60" s="22">
        <v>34989</v>
      </c>
      <c r="R60" s="201">
        <f t="shared" si="0"/>
        <v>0.75</v>
      </c>
      <c r="S60" s="197">
        <v>1892.44233316183</v>
      </c>
      <c r="T60" s="216">
        <f t="shared" si="11"/>
        <v>1707</v>
      </c>
      <c r="U60" s="213"/>
      <c r="V60" s="213">
        <v>9772334.111298587</v>
      </c>
      <c r="W60" s="196">
        <f t="shared" si="12"/>
        <v>78178672.8903887</v>
      </c>
      <c r="X60" s="206">
        <f t="shared" si="1"/>
        <v>0</v>
      </c>
      <c r="Y60" s="22">
        <f t="shared" si="13"/>
        <v>78178672.8903887</v>
      </c>
      <c r="Z60" s="22" t="e">
        <f>#REF!</f>
        <v>#REF!</v>
      </c>
      <c r="AA60" s="41">
        <v>113707803</v>
      </c>
      <c r="AB60" s="22" t="e">
        <f>#REF!-AA60</f>
        <v>#REF!</v>
      </c>
      <c r="AC60" s="32" t="e">
        <f t="shared" si="3"/>
        <v>#REF!</v>
      </c>
      <c r="AD60" s="15"/>
      <c r="AE60" s="15"/>
      <c r="AF60" s="15"/>
      <c r="AG60" s="15"/>
    </row>
    <row r="61" spans="1:33" ht="12.75">
      <c r="A61" s="21">
        <v>53</v>
      </c>
      <c r="B61" s="21" t="s">
        <v>225</v>
      </c>
      <c r="C61" s="224">
        <f>'Table 4 Formula'!BA60</f>
        <v>64407064.5605</v>
      </c>
      <c r="D61" s="322">
        <v>-646327.6978056623</v>
      </c>
      <c r="E61" s="224">
        <f t="shared" si="4"/>
        <v>63760736.86269434</v>
      </c>
      <c r="F61" s="224">
        <f>E61/'Table 4 Formula'!C60</f>
        <v>3518.2219755390574</v>
      </c>
      <c r="G61" s="22">
        <f>'[1]Comparison original &amp; adjusted'!$G58</f>
        <v>334630.36680000275</v>
      </c>
      <c r="H61" s="322">
        <f>'[1]Comparison original &amp; adjusted'!$H58</f>
        <v>0</v>
      </c>
      <c r="I61" s="387">
        <f t="shared" si="5"/>
        <v>64095367.22949434</v>
      </c>
      <c r="J61" s="41">
        <v>43647081.16829177</v>
      </c>
      <c r="K61" s="41">
        <f t="shared" si="6"/>
        <v>20448286.06120257</v>
      </c>
      <c r="L61" s="41">
        <f t="shared" si="7"/>
        <v>5112071.515300643</v>
      </c>
      <c r="M61" s="41">
        <v>62975562.5491</v>
      </c>
      <c r="N61" s="194">
        <f t="shared" si="8"/>
        <v>1119804.680394344</v>
      </c>
      <c r="O61" s="22">
        <f t="shared" si="9"/>
        <v>1119804.680394344</v>
      </c>
      <c r="P61" s="22">
        <f t="shared" si="10"/>
        <v>0</v>
      </c>
      <c r="Q61" s="22">
        <v>33774</v>
      </c>
      <c r="R61" s="201">
        <f t="shared" si="0"/>
        <v>0.75</v>
      </c>
      <c r="S61" s="197">
        <v>1080.54666668177</v>
      </c>
      <c r="T61" s="216">
        <f t="shared" si="11"/>
        <v>681</v>
      </c>
      <c r="U61" s="213"/>
      <c r="V61" s="213">
        <v>5455885.146036471</v>
      </c>
      <c r="W61" s="196">
        <f t="shared" si="12"/>
        <v>43647081.16829177</v>
      </c>
      <c r="X61" s="206">
        <f t="shared" si="1"/>
        <v>0</v>
      </c>
      <c r="Y61" s="22">
        <f t="shared" si="13"/>
        <v>43647081.16829177</v>
      </c>
      <c r="Z61" s="22" t="e">
        <f>#REF!</f>
        <v>#REF!</v>
      </c>
      <c r="AA61" s="41">
        <v>62723266</v>
      </c>
      <c r="AB61" s="22" t="e">
        <f>#REF!-AA61</f>
        <v>#REF!</v>
      </c>
      <c r="AC61" s="32" t="e">
        <f t="shared" si="3"/>
        <v>#REF!</v>
      </c>
      <c r="AD61" s="15"/>
      <c r="AE61" s="15"/>
      <c r="AF61" s="15"/>
      <c r="AG61" s="15"/>
    </row>
    <row r="62" spans="1:33" ht="12.75">
      <c r="A62" s="21">
        <v>54</v>
      </c>
      <c r="B62" s="21" t="s">
        <v>226</v>
      </c>
      <c r="C62" s="224">
        <f>'Table 4 Formula'!BA61</f>
        <v>4059698.7318</v>
      </c>
      <c r="D62" s="322">
        <v>-40740.975170827915</v>
      </c>
      <c r="E62" s="224">
        <f t="shared" si="4"/>
        <v>4018957.7566291722</v>
      </c>
      <c r="F62" s="224">
        <f>E62/'Table 4 Formula'!C61</f>
        <v>3909.4919811567825</v>
      </c>
      <c r="G62" s="22">
        <f>'[1]Comparison original &amp; adjusted'!$G59</f>
        <v>11965.389800000004</v>
      </c>
      <c r="H62" s="322">
        <f>'[1]Comparison original &amp; adjusted'!$H59</f>
        <v>0</v>
      </c>
      <c r="I62" s="387">
        <f t="shared" si="5"/>
        <v>4030923.1464291723</v>
      </c>
      <c r="J62" s="41">
        <v>2698157.009160722</v>
      </c>
      <c r="K62" s="41">
        <f t="shared" si="6"/>
        <v>1332766.13726845</v>
      </c>
      <c r="L62" s="41">
        <f t="shared" si="7"/>
        <v>333191.5343171125</v>
      </c>
      <c r="M62" s="41">
        <v>4450134.9977</v>
      </c>
      <c r="N62" s="194">
        <f t="shared" si="8"/>
        <v>-419211.85127082793</v>
      </c>
      <c r="O62" s="22">
        <f t="shared" si="9"/>
        <v>0</v>
      </c>
      <c r="P62" s="22">
        <f t="shared" si="10"/>
        <v>-419211.85127082793</v>
      </c>
      <c r="Q62" s="22">
        <v>24696</v>
      </c>
      <c r="R62" s="201">
        <f t="shared" si="0"/>
        <v>0.75</v>
      </c>
      <c r="S62" s="197">
        <v>90.433333337307</v>
      </c>
      <c r="T62" s="216">
        <f t="shared" si="11"/>
        <v>0</v>
      </c>
      <c r="U62" s="213"/>
      <c r="V62" s="213">
        <v>337269.62614509027</v>
      </c>
      <c r="W62" s="196">
        <f t="shared" si="12"/>
        <v>2698157.009160722</v>
      </c>
      <c r="X62" s="206">
        <f t="shared" si="1"/>
        <v>0</v>
      </c>
      <c r="Y62" s="22">
        <f t="shared" si="13"/>
        <v>2698157.009160722</v>
      </c>
      <c r="Z62" s="22" t="e">
        <f>#REF!</f>
        <v>#REF!</v>
      </c>
      <c r="AA62" s="41">
        <v>4750805</v>
      </c>
      <c r="AB62" s="22" t="e">
        <f>#REF!-AA62</f>
        <v>#REF!</v>
      </c>
      <c r="AC62" s="32" t="e">
        <f t="shared" si="3"/>
        <v>#REF!</v>
      </c>
      <c r="AD62" s="15"/>
      <c r="AE62" s="15"/>
      <c r="AF62" s="15"/>
      <c r="AG62" s="15"/>
    </row>
    <row r="63" spans="1:33" ht="12.75">
      <c r="A63" s="34">
        <v>55</v>
      </c>
      <c r="B63" s="35" t="s">
        <v>227</v>
      </c>
      <c r="C63" s="225">
        <f>'Table 4 Formula'!BA62</f>
        <v>64017713.7967</v>
      </c>
      <c r="D63" s="323">
        <v>-642419.6046622583</v>
      </c>
      <c r="E63" s="225">
        <f t="shared" si="4"/>
        <v>63375294.19203774</v>
      </c>
      <c r="F63" s="386">
        <f>E63/'Table 4 Formula'!C62</f>
        <v>3227.99848174185</v>
      </c>
      <c r="G63" s="36">
        <f>'[1]Comparison original &amp; adjusted'!$G60</f>
        <v>554586.8280000016</v>
      </c>
      <c r="H63" s="323">
        <f>'[1]Comparison original &amp; adjusted'!$H60</f>
        <v>0</v>
      </c>
      <c r="I63" s="388">
        <f t="shared" si="5"/>
        <v>63929881.02003774</v>
      </c>
      <c r="J63" s="43">
        <v>42316179.84329379</v>
      </c>
      <c r="K63" s="43">
        <f t="shared" si="6"/>
        <v>21613701.176743947</v>
      </c>
      <c r="L63" s="43">
        <f t="shared" si="7"/>
        <v>5403425.294185987</v>
      </c>
      <c r="M63" s="43">
        <v>62128482.959</v>
      </c>
      <c r="N63" s="195">
        <f t="shared" si="8"/>
        <v>1801398.0610377416</v>
      </c>
      <c r="O63" s="36">
        <f t="shared" si="9"/>
        <v>1801398.0610377416</v>
      </c>
      <c r="P63" s="36">
        <f t="shared" si="10"/>
        <v>0</v>
      </c>
      <c r="Q63" s="36">
        <v>32733</v>
      </c>
      <c r="R63" s="202">
        <f t="shared" si="0"/>
        <v>0.75</v>
      </c>
      <c r="S63" s="198">
        <v>1381.78285712004</v>
      </c>
      <c r="T63" s="217">
        <f t="shared" si="11"/>
        <v>856</v>
      </c>
      <c r="U63" s="213"/>
      <c r="V63" s="213">
        <v>5289522.480411724</v>
      </c>
      <c r="W63" s="196">
        <f t="shared" si="12"/>
        <v>42316179.84329379</v>
      </c>
      <c r="X63" s="207">
        <f t="shared" si="1"/>
        <v>0</v>
      </c>
      <c r="Y63" s="36">
        <f t="shared" si="13"/>
        <v>42316179.84329379</v>
      </c>
      <c r="Z63" s="36" t="e">
        <f>#REF!</f>
        <v>#REF!</v>
      </c>
      <c r="AA63" s="43">
        <v>62867691</v>
      </c>
      <c r="AB63" s="36" t="e">
        <f>#REF!-AA63</f>
        <v>#REF!</v>
      </c>
      <c r="AC63" s="37" t="e">
        <f t="shared" si="3"/>
        <v>#REF!</v>
      </c>
      <c r="AD63" s="15"/>
      <c r="AE63" s="15"/>
      <c r="AF63" s="15"/>
      <c r="AG63" s="15"/>
    </row>
    <row r="64" spans="1:33" ht="12.75">
      <c r="A64" s="21">
        <v>56</v>
      </c>
      <c r="B64" s="21" t="s">
        <v>228</v>
      </c>
      <c r="C64" s="224">
        <f>'Table 4 Formula'!BA63</f>
        <v>11556827.8572</v>
      </c>
      <c r="D64" s="322">
        <v>-115976.1877687704</v>
      </c>
      <c r="E64" s="224">
        <f t="shared" si="4"/>
        <v>11440851.66943123</v>
      </c>
      <c r="F64" s="224">
        <f>E64/'Table 4 Formula'!C63</f>
        <v>3233.705955181241</v>
      </c>
      <c r="G64" s="22">
        <f>'[1]Comparison original &amp; adjusted'!$G61</f>
        <v>35016.89680000022</v>
      </c>
      <c r="H64" s="322">
        <f>'[1]Comparison original &amp; adjusted'!$H61</f>
        <v>0</v>
      </c>
      <c r="I64" s="387">
        <f t="shared" si="5"/>
        <v>11475868.56623123</v>
      </c>
      <c r="J64" s="41">
        <v>7736373.086203761</v>
      </c>
      <c r="K64" s="41">
        <f t="shared" si="6"/>
        <v>3739495.480027469</v>
      </c>
      <c r="L64" s="41">
        <f t="shared" si="7"/>
        <v>934873.8700068672</v>
      </c>
      <c r="M64" s="41">
        <v>11644976.7962</v>
      </c>
      <c r="N64" s="194">
        <f t="shared" si="8"/>
        <v>-169108.22996876948</v>
      </c>
      <c r="O64" s="22">
        <f t="shared" si="9"/>
        <v>0</v>
      </c>
      <c r="P64" s="22">
        <f t="shared" si="10"/>
        <v>-169108.22996876948</v>
      </c>
      <c r="Q64" s="22">
        <v>27063</v>
      </c>
      <c r="R64" s="201">
        <f t="shared" si="0"/>
        <v>0.75</v>
      </c>
      <c r="S64" s="197">
        <v>222.46285200119</v>
      </c>
      <c r="T64" s="216">
        <f t="shared" si="11"/>
        <v>0</v>
      </c>
      <c r="U64" s="213"/>
      <c r="V64" s="213">
        <v>967046.6357754702</v>
      </c>
      <c r="W64" s="196">
        <f t="shared" si="12"/>
        <v>7736373.086203761</v>
      </c>
      <c r="X64" s="206">
        <f t="shared" si="1"/>
        <v>0</v>
      </c>
      <c r="Y64" s="22">
        <f t="shared" si="13"/>
        <v>7736373.086203761</v>
      </c>
      <c r="Z64" s="22" t="e">
        <f>#REF!</f>
        <v>#REF!</v>
      </c>
      <c r="AA64" s="41">
        <v>11579824</v>
      </c>
      <c r="AB64" s="22" t="e">
        <f>#REF!-AA64</f>
        <v>#REF!</v>
      </c>
      <c r="AC64" s="32" t="e">
        <f t="shared" si="3"/>
        <v>#REF!</v>
      </c>
      <c r="AD64" s="15"/>
      <c r="AE64" s="15"/>
      <c r="AF64" s="15"/>
      <c r="AG64" s="15"/>
    </row>
    <row r="65" spans="1:33" ht="12.75">
      <c r="A65" s="21">
        <v>57</v>
      </c>
      <c r="B65" s="21" t="s">
        <v>229</v>
      </c>
      <c r="C65" s="224">
        <f>'Table 4 Formula'!BA64</f>
        <v>26841890.6497</v>
      </c>
      <c r="D65" s="322">
        <v>-269360.150032043</v>
      </c>
      <c r="E65" s="224">
        <f t="shared" si="4"/>
        <v>26572530.499667957</v>
      </c>
      <c r="F65" s="224">
        <f>E65/'Table 4 Formula'!C64</f>
        <v>2992.73910346525</v>
      </c>
      <c r="G65" s="22">
        <f>'[1]Comparison original &amp; adjusted'!$G62</f>
        <v>268002.1031999998</v>
      </c>
      <c r="H65" s="322">
        <f>'[1]Comparison original &amp; adjusted'!$H62</f>
        <v>0</v>
      </c>
      <c r="I65" s="387">
        <f t="shared" si="5"/>
        <v>26840532.602867957</v>
      </c>
      <c r="J65" s="41">
        <v>17970014.123161014</v>
      </c>
      <c r="K65" s="41">
        <f t="shared" si="6"/>
        <v>8870518.479706943</v>
      </c>
      <c r="L65" s="41">
        <f t="shared" si="7"/>
        <v>2217629.6199267358</v>
      </c>
      <c r="M65" s="41">
        <v>26413538.3517</v>
      </c>
      <c r="N65" s="194">
        <f t="shared" si="8"/>
        <v>426994.25116795674</v>
      </c>
      <c r="O65" s="22">
        <f t="shared" si="9"/>
        <v>426994.25116795674</v>
      </c>
      <c r="P65" s="22">
        <f t="shared" si="10"/>
        <v>0</v>
      </c>
      <c r="Q65" s="22">
        <v>33420</v>
      </c>
      <c r="R65" s="201">
        <f t="shared" si="0"/>
        <v>0.75</v>
      </c>
      <c r="S65" s="197">
        <v>585.937142848969</v>
      </c>
      <c r="T65" s="216">
        <f t="shared" si="11"/>
        <v>479</v>
      </c>
      <c r="U65" s="213"/>
      <c r="V65" s="213">
        <v>2246251.765395127</v>
      </c>
      <c r="W65" s="196">
        <f t="shared" si="12"/>
        <v>17970014.123161014</v>
      </c>
      <c r="X65" s="206">
        <f t="shared" si="1"/>
        <v>0</v>
      </c>
      <c r="Y65" s="22">
        <f t="shared" si="13"/>
        <v>17970014.123161014</v>
      </c>
      <c r="Z65" s="22" t="e">
        <f>#REF!</f>
        <v>#REF!</v>
      </c>
      <c r="AA65" s="41">
        <v>24469320</v>
      </c>
      <c r="AB65" s="22" t="e">
        <f>#REF!-AA65</f>
        <v>#REF!</v>
      </c>
      <c r="AC65" s="32" t="e">
        <f t="shared" si="3"/>
        <v>#REF!</v>
      </c>
      <c r="AD65" s="15"/>
      <c r="AE65" s="15"/>
      <c r="AF65" s="15"/>
      <c r="AG65" s="15"/>
    </row>
    <row r="66" spans="1:33" ht="12.75">
      <c r="A66" s="21">
        <v>58</v>
      </c>
      <c r="B66" s="21" t="s">
        <v>230</v>
      </c>
      <c r="C66" s="224">
        <f>'Table 4 Formula'!BA65</f>
        <v>38350213.0619</v>
      </c>
      <c r="D66" s="322">
        <v>-384851.65434974845</v>
      </c>
      <c r="E66" s="224">
        <f t="shared" si="4"/>
        <v>37965361.407550246</v>
      </c>
      <c r="F66" s="224">
        <f>E66/'Table 4 Formula'!C65</f>
        <v>3763.7911576831807</v>
      </c>
      <c r="G66" s="22">
        <f>'[1]Comparison original &amp; adjusted'!$G63</f>
        <v>198964.3872999996</v>
      </c>
      <c r="H66" s="322">
        <f>'[1]Comparison original &amp; adjusted'!$H63</f>
        <v>0</v>
      </c>
      <c r="I66" s="387">
        <f t="shared" si="5"/>
        <v>38164325.794850245</v>
      </c>
      <c r="J66" s="41">
        <v>23967425.3374569</v>
      </c>
      <c r="K66" s="41">
        <f t="shared" si="6"/>
        <v>14196900.457393344</v>
      </c>
      <c r="L66" s="41">
        <f t="shared" si="7"/>
        <v>3549225.114348336</v>
      </c>
      <c r="M66" s="41">
        <v>36134280.1537</v>
      </c>
      <c r="N66" s="194">
        <f t="shared" si="8"/>
        <v>2030045.6411502436</v>
      </c>
      <c r="O66" s="22">
        <f t="shared" si="9"/>
        <v>2030045.6411502436</v>
      </c>
      <c r="P66" s="22">
        <f t="shared" si="10"/>
        <v>0</v>
      </c>
      <c r="Q66" s="22">
        <v>29509</v>
      </c>
      <c r="R66" s="201">
        <f t="shared" si="0"/>
        <v>0.75</v>
      </c>
      <c r="S66" s="197">
        <v>706.116666734219</v>
      </c>
      <c r="T66" s="216">
        <f t="shared" si="11"/>
        <v>1888</v>
      </c>
      <c r="U66" s="213"/>
      <c r="V66" s="213">
        <v>2995928.1671821126</v>
      </c>
      <c r="W66" s="196">
        <f t="shared" si="12"/>
        <v>23967425.3374569</v>
      </c>
      <c r="X66" s="206">
        <f t="shared" si="1"/>
        <v>0</v>
      </c>
      <c r="Y66" s="22">
        <f t="shared" si="13"/>
        <v>23967425.3374569</v>
      </c>
      <c r="Z66" s="22" t="e">
        <f>#REF!</f>
        <v>#REF!</v>
      </c>
      <c r="AA66" s="41">
        <v>36443654</v>
      </c>
      <c r="AB66" s="22" t="e">
        <f>#REF!-AA66</f>
        <v>#REF!</v>
      </c>
      <c r="AC66" s="32" t="e">
        <f t="shared" si="3"/>
        <v>#REF!</v>
      </c>
      <c r="AD66" s="15"/>
      <c r="AE66" s="15"/>
      <c r="AF66" s="15"/>
      <c r="AG66" s="15"/>
    </row>
    <row r="67" spans="1:33" ht="12.75">
      <c r="A67" s="21">
        <v>59</v>
      </c>
      <c r="B67" s="21" t="s">
        <v>231</v>
      </c>
      <c r="C67" s="224">
        <f>'Table 4 Formula'!BA66</f>
        <v>19881482.0098</v>
      </c>
      <c r="D67" s="322">
        <v>-199515.28397035672</v>
      </c>
      <c r="E67" s="224">
        <f t="shared" si="4"/>
        <v>19681966.725829642</v>
      </c>
      <c r="F67" s="224">
        <f>E67/'Table 4 Formula'!C66</f>
        <v>4286.142579666734</v>
      </c>
      <c r="G67" s="22">
        <f>'[1]Comparison original &amp; adjusted'!$G64</f>
        <v>88253.01510000229</v>
      </c>
      <c r="H67" s="322">
        <f>'[1]Comparison original &amp; adjusted'!$H64</f>
        <v>0</v>
      </c>
      <c r="I67" s="387">
        <f t="shared" si="5"/>
        <v>19770219.740929645</v>
      </c>
      <c r="J67" s="41">
        <v>12456061.802479105</v>
      </c>
      <c r="K67" s="41">
        <f t="shared" si="6"/>
        <v>7314157.9384505395</v>
      </c>
      <c r="L67" s="41">
        <f t="shared" si="7"/>
        <v>1828539.4846126349</v>
      </c>
      <c r="M67" s="41">
        <v>18630469.1751</v>
      </c>
      <c r="N67" s="194">
        <f t="shared" si="8"/>
        <v>1139750.5658296458</v>
      </c>
      <c r="O67" s="22">
        <f t="shared" si="9"/>
        <v>1139750.5658296458</v>
      </c>
      <c r="P67" s="22">
        <f t="shared" si="10"/>
        <v>0</v>
      </c>
      <c r="Q67" s="22">
        <v>30542</v>
      </c>
      <c r="R67" s="201">
        <f t="shared" si="0"/>
        <v>0.75</v>
      </c>
      <c r="S67" s="197">
        <v>344</v>
      </c>
      <c r="T67" s="216">
        <f t="shared" si="11"/>
        <v>2176</v>
      </c>
      <c r="U67" s="213"/>
      <c r="V67" s="213">
        <v>1557007.7253098881</v>
      </c>
      <c r="W67" s="196">
        <f t="shared" si="12"/>
        <v>12456061.802479105</v>
      </c>
      <c r="X67" s="206">
        <f t="shared" si="1"/>
        <v>0</v>
      </c>
      <c r="Y67" s="22">
        <f t="shared" si="13"/>
        <v>12456061.802479105</v>
      </c>
      <c r="Z67" s="22" t="e">
        <f>#REF!</f>
        <v>#REF!</v>
      </c>
      <c r="AA67" s="41">
        <v>18532013</v>
      </c>
      <c r="AB67" s="22" t="e">
        <f>#REF!-AA67</f>
        <v>#REF!</v>
      </c>
      <c r="AC67" s="32" t="e">
        <f t="shared" si="3"/>
        <v>#REF!</v>
      </c>
      <c r="AD67" s="15"/>
      <c r="AE67" s="15"/>
      <c r="AF67" s="15"/>
      <c r="AG67" s="15"/>
    </row>
    <row r="68" spans="1:33" ht="12.75">
      <c r="A68" s="34">
        <v>60</v>
      </c>
      <c r="B68" s="35" t="s">
        <v>232</v>
      </c>
      <c r="C68" s="225">
        <f>'Table 4 Formula'!BA67</f>
        <v>25400759.9695</v>
      </c>
      <c r="D68" s="323">
        <v>-254897.75112758848</v>
      </c>
      <c r="E68" s="225">
        <f t="shared" si="4"/>
        <v>25145862.218372412</v>
      </c>
      <c r="F68" s="386">
        <f>E68/'Table 4 Formula'!C67</f>
        <v>3330.1366995593185</v>
      </c>
      <c r="G68" s="36">
        <f>'[1]Comparison original &amp; adjusted'!$G65</f>
        <v>215288.5826999992</v>
      </c>
      <c r="H68" s="323">
        <f>'[1]Comparison original &amp; adjusted'!$H65</f>
        <v>0</v>
      </c>
      <c r="I68" s="388">
        <f t="shared" si="5"/>
        <v>25361150.80107241</v>
      </c>
      <c r="J68" s="43">
        <v>16779861.911804352</v>
      </c>
      <c r="K68" s="43">
        <f t="shared" si="6"/>
        <v>8581288.88926806</v>
      </c>
      <c r="L68" s="43">
        <f t="shared" si="7"/>
        <v>2145322.222317015</v>
      </c>
      <c r="M68" s="43">
        <v>24828697.9932</v>
      </c>
      <c r="N68" s="195">
        <f t="shared" si="8"/>
        <v>532452.8078724109</v>
      </c>
      <c r="O68" s="36">
        <f t="shared" si="9"/>
        <v>532452.8078724109</v>
      </c>
      <c r="P68" s="36">
        <f t="shared" si="10"/>
        <v>0</v>
      </c>
      <c r="Q68" s="36">
        <v>33600</v>
      </c>
      <c r="R68" s="202">
        <f t="shared" si="0"/>
        <v>0.75</v>
      </c>
      <c r="S68" s="198">
        <v>487.833333313465</v>
      </c>
      <c r="T68" s="217">
        <f t="shared" si="11"/>
        <v>717</v>
      </c>
      <c r="U68" s="213"/>
      <c r="V68" s="213">
        <v>2097482.738975544</v>
      </c>
      <c r="W68" s="196">
        <f t="shared" si="12"/>
        <v>16779861.911804352</v>
      </c>
      <c r="X68" s="207">
        <f t="shared" si="1"/>
        <v>0</v>
      </c>
      <c r="Y68" s="36">
        <f t="shared" si="13"/>
        <v>16779861.911804352</v>
      </c>
      <c r="Z68" s="36" t="e">
        <f>#REF!</f>
        <v>#REF!</v>
      </c>
      <c r="AA68" s="43">
        <v>24814608</v>
      </c>
      <c r="AB68" s="36" t="e">
        <f>#REF!-AA68</f>
        <v>#REF!</v>
      </c>
      <c r="AC68" s="37" t="e">
        <f t="shared" si="3"/>
        <v>#REF!</v>
      </c>
      <c r="AD68" s="15"/>
      <c r="AE68" s="15"/>
      <c r="AF68" s="15"/>
      <c r="AG68" s="15"/>
    </row>
    <row r="69" spans="1:33" ht="12.75">
      <c r="A69" s="21">
        <v>61</v>
      </c>
      <c r="B69" s="21" t="s">
        <v>233</v>
      </c>
      <c r="C69" s="224">
        <f>'Table 4 Formula'!BA68</f>
        <v>9273868.8521</v>
      </c>
      <c r="D69" s="322">
        <v>-93063.92100366611</v>
      </c>
      <c r="E69" s="224">
        <f t="shared" si="4"/>
        <v>9180804.931096334</v>
      </c>
      <c r="F69" s="224">
        <f>E69/'Table 4 Formula'!C68</f>
        <v>2446.257642178613</v>
      </c>
      <c r="G69" s="22">
        <f>'[1]Comparison original &amp; adjusted'!$G66</f>
        <v>0</v>
      </c>
      <c r="H69" s="322">
        <f>'[1]Comparison original &amp; adjusted'!$H66</f>
        <v>-9137.519999999553</v>
      </c>
      <c r="I69" s="387">
        <f t="shared" si="5"/>
        <v>9171667.411096334</v>
      </c>
      <c r="J69" s="41">
        <v>5654104.687585332</v>
      </c>
      <c r="K69" s="41">
        <f t="shared" si="6"/>
        <v>3517562.723511002</v>
      </c>
      <c r="L69" s="41">
        <f t="shared" si="7"/>
        <v>879390.6808777505</v>
      </c>
      <c r="M69" s="41">
        <v>8612646.6</v>
      </c>
      <c r="N69" s="194">
        <f t="shared" si="8"/>
        <v>559020.8110963348</v>
      </c>
      <c r="O69" s="22">
        <f t="shared" si="9"/>
        <v>559020.8110963348</v>
      </c>
      <c r="P69" s="22">
        <f t="shared" si="10"/>
        <v>0</v>
      </c>
      <c r="Q69" s="22">
        <v>31716</v>
      </c>
      <c r="R69" s="201">
        <f t="shared" si="0"/>
        <v>0.75</v>
      </c>
      <c r="S69" s="197">
        <v>239.948571443558</v>
      </c>
      <c r="T69" s="216">
        <f t="shared" si="11"/>
        <v>1530</v>
      </c>
      <c r="U69" s="213"/>
      <c r="V69" s="213">
        <v>706763.0859481666</v>
      </c>
      <c r="W69" s="196">
        <f t="shared" si="12"/>
        <v>5654104.687585332</v>
      </c>
      <c r="X69" s="206">
        <f t="shared" si="1"/>
        <v>0</v>
      </c>
      <c r="Y69" s="22">
        <f t="shared" si="13"/>
        <v>5654104.687585332</v>
      </c>
      <c r="Z69" s="22" t="e">
        <f>#REF!</f>
        <v>#REF!</v>
      </c>
      <c r="AA69" s="41">
        <v>8830167</v>
      </c>
      <c r="AB69" s="22" t="e">
        <f>#REF!-AA69</f>
        <v>#REF!</v>
      </c>
      <c r="AC69" s="32" t="e">
        <f t="shared" si="3"/>
        <v>#REF!</v>
      </c>
      <c r="AD69" s="15"/>
      <c r="AE69" s="15"/>
      <c r="AF69" s="15"/>
      <c r="AG69" s="15"/>
    </row>
    <row r="70" spans="1:33" ht="12.75">
      <c r="A70" s="21">
        <v>62</v>
      </c>
      <c r="B70" s="21" t="s">
        <v>234</v>
      </c>
      <c r="C70" s="224">
        <f>'Table 4 Formula'!BA69</f>
        <v>9200262.8579</v>
      </c>
      <c r="D70" s="322">
        <v>-92327.570442286</v>
      </c>
      <c r="E70" s="224">
        <f t="shared" si="4"/>
        <v>9107935.287457714</v>
      </c>
      <c r="F70" s="224">
        <f>E70/'Table 4 Formula'!C69</f>
        <v>3663.6907833699574</v>
      </c>
      <c r="G70" s="22">
        <f>'[1]Comparison original &amp; adjusted'!$G67</f>
        <v>29777.38540000096</v>
      </c>
      <c r="H70" s="322">
        <f>'[1]Comparison original &amp; adjusted'!$H67</f>
        <v>0</v>
      </c>
      <c r="I70" s="387">
        <f t="shared" si="5"/>
        <v>9137712.672857715</v>
      </c>
      <c r="J70" s="41">
        <v>6163542.111979523</v>
      </c>
      <c r="K70" s="41">
        <f t="shared" si="6"/>
        <v>2974170.560878192</v>
      </c>
      <c r="L70" s="41">
        <f t="shared" si="7"/>
        <v>743542.640219548</v>
      </c>
      <c r="M70" s="41">
        <v>9151461.7394</v>
      </c>
      <c r="N70" s="194">
        <f t="shared" si="8"/>
        <v>-13749.066542284563</v>
      </c>
      <c r="O70" s="22">
        <f t="shared" si="9"/>
        <v>0</v>
      </c>
      <c r="P70" s="22">
        <f t="shared" si="10"/>
        <v>-13749.066542284563</v>
      </c>
      <c r="Q70" s="22">
        <v>26474</v>
      </c>
      <c r="R70" s="201">
        <f t="shared" si="0"/>
        <v>0.75</v>
      </c>
      <c r="S70" s="197">
        <v>185</v>
      </c>
      <c r="T70" s="216">
        <f t="shared" si="11"/>
        <v>0</v>
      </c>
      <c r="U70" s="213"/>
      <c r="V70" s="213">
        <v>770442.7639974403</v>
      </c>
      <c r="W70" s="196">
        <f t="shared" si="12"/>
        <v>6163542.111979523</v>
      </c>
      <c r="X70" s="206">
        <f t="shared" si="1"/>
        <v>0</v>
      </c>
      <c r="Y70" s="22">
        <f t="shared" si="13"/>
        <v>6163542.111979523</v>
      </c>
      <c r="Z70" s="22" t="e">
        <f>#REF!</f>
        <v>#REF!</v>
      </c>
      <c r="AA70" s="41">
        <v>9199073</v>
      </c>
      <c r="AB70" s="22" t="e">
        <f>#REF!-AA70</f>
        <v>#REF!</v>
      </c>
      <c r="AC70" s="32" t="e">
        <f t="shared" si="3"/>
        <v>#REF!</v>
      </c>
      <c r="AD70" s="15"/>
      <c r="AE70" s="15"/>
      <c r="AF70" s="15"/>
      <c r="AG70" s="15"/>
    </row>
    <row r="71" spans="1:33" ht="12.75">
      <c r="A71" s="21">
        <v>63</v>
      </c>
      <c r="B71" s="21" t="s">
        <v>235</v>
      </c>
      <c r="C71" s="224">
        <f>'Table 4 Formula'!BA70</f>
        <v>6667037.72</v>
      </c>
      <c r="D71" s="322">
        <v>-66906.31386727792</v>
      </c>
      <c r="E71" s="224">
        <f t="shared" si="4"/>
        <v>6600131.406132722</v>
      </c>
      <c r="F71" s="224">
        <f>E71/'Table 4 Formula'!C70</f>
        <v>3012.383115532963</v>
      </c>
      <c r="G71" s="22">
        <f>'[1]Comparison original &amp; adjusted'!$G68</f>
        <v>0</v>
      </c>
      <c r="H71" s="322">
        <f>'[1]Comparison original &amp; adjusted'!$H68</f>
        <v>0</v>
      </c>
      <c r="I71" s="387">
        <f t="shared" si="5"/>
        <v>6600131.406132722</v>
      </c>
      <c r="J71" s="41">
        <v>4461688.348809649</v>
      </c>
      <c r="K71" s="41">
        <f t="shared" si="6"/>
        <v>2138443.057323073</v>
      </c>
      <c r="L71" s="41">
        <f t="shared" si="7"/>
        <v>534610.7643307683</v>
      </c>
      <c r="M71" s="41">
        <v>6688670</v>
      </c>
      <c r="N71" s="194">
        <f t="shared" si="8"/>
        <v>-88538.59386727773</v>
      </c>
      <c r="O71" s="22">
        <f t="shared" si="9"/>
        <v>0</v>
      </c>
      <c r="P71" s="22">
        <f t="shared" si="10"/>
        <v>-88538.59386727773</v>
      </c>
      <c r="Q71" s="22">
        <v>34609</v>
      </c>
      <c r="R71" s="201">
        <f t="shared" si="0"/>
        <v>0.75</v>
      </c>
      <c r="S71" s="197">
        <v>195</v>
      </c>
      <c r="T71" s="216">
        <f t="shared" si="11"/>
        <v>0</v>
      </c>
      <c r="U71" s="213"/>
      <c r="V71" s="213">
        <v>557711.0436012062</v>
      </c>
      <c r="W71" s="196">
        <f t="shared" si="12"/>
        <v>4461688.348809649</v>
      </c>
      <c r="X71" s="206">
        <f t="shared" si="1"/>
        <v>0</v>
      </c>
      <c r="Y71" s="22">
        <f t="shared" si="13"/>
        <v>4461688.348809649</v>
      </c>
      <c r="Z71" s="22" t="e">
        <f>#REF!</f>
        <v>#REF!</v>
      </c>
      <c r="AA71" s="41">
        <v>6688670</v>
      </c>
      <c r="AB71" s="22" t="e">
        <f>#REF!-AA71</f>
        <v>#REF!</v>
      </c>
      <c r="AC71" s="32" t="e">
        <f t="shared" si="3"/>
        <v>#REF!</v>
      </c>
      <c r="AD71" s="15"/>
      <c r="AE71" s="15"/>
      <c r="AF71" s="15"/>
      <c r="AG71" s="15"/>
    </row>
    <row r="72" spans="1:33" ht="12.75">
      <c r="A72" s="21">
        <v>64</v>
      </c>
      <c r="B72" s="21" t="s">
        <v>236</v>
      </c>
      <c r="C72" s="224">
        <f>'Table 4 Formula'!BA71</f>
        <v>11185994.33</v>
      </c>
      <c r="D72" s="322">
        <v>-112252.08099243039</v>
      </c>
      <c r="E72" s="224">
        <f t="shared" si="4"/>
        <v>11073742.24900757</v>
      </c>
      <c r="F72" s="224">
        <f>E72/'Table 4 Formula'!C71</f>
        <v>3858.44677665769</v>
      </c>
      <c r="G72" s="22">
        <f>'[1]Comparison original &amp; adjusted'!$G69</f>
        <v>81361.85280000046</v>
      </c>
      <c r="H72" s="322">
        <f>'[1]Comparison original &amp; adjusted'!$H69</f>
        <v>0</v>
      </c>
      <c r="I72" s="387">
        <f t="shared" si="5"/>
        <v>11155104.10180757</v>
      </c>
      <c r="J72" s="41">
        <v>6949873.120837393</v>
      </c>
      <c r="K72" s="41">
        <f t="shared" si="6"/>
        <v>4205230.980970177</v>
      </c>
      <c r="L72" s="41">
        <f t="shared" si="7"/>
        <v>1051307.7452425442</v>
      </c>
      <c r="M72" s="41">
        <v>10437378.4183</v>
      </c>
      <c r="N72" s="194">
        <f t="shared" si="8"/>
        <v>717725.683507571</v>
      </c>
      <c r="O72" s="22">
        <f t="shared" si="9"/>
        <v>717725.683507571</v>
      </c>
      <c r="P72" s="22">
        <f t="shared" si="10"/>
        <v>0</v>
      </c>
      <c r="Q72" s="22">
        <v>26556</v>
      </c>
      <c r="R72" s="201">
        <f t="shared" si="0"/>
        <v>0.75</v>
      </c>
      <c r="S72" s="197">
        <v>210.866666674614</v>
      </c>
      <c r="T72" s="216">
        <f t="shared" si="11"/>
        <v>2235</v>
      </c>
      <c r="U72" s="213"/>
      <c r="V72" s="213">
        <v>868734.1401046742</v>
      </c>
      <c r="W72" s="196">
        <f t="shared" si="12"/>
        <v>6949873.120837393</v>
      </c>
      <c r="X72" s="206">
        <f t="shared" si="1"/>
        <v>0</v>
      </c>
      <c r="Y72" s="22">
        <f t="shared" si="13"/>
        <v>6949873.120837393</v>
      </c>
      <c r="Z72" s="22" t="e">
        <f>#REF!</f>
        <v>#REF!</v>
      </c>
      <c r="AA72" s="41">
        <v>10924710</v>
      </c>
      <c r="AB72" s="22" t="e">
        <f>#REF!-AA72</f>
        <v>#REF!</v>
      </c>
      <c r="AC72" s="32" t="e">
        <f t="shared" si="3"/>
        <v>#REF!</v>
      </c>
      <c r="AD72" s="15"/>
      <c r="AE72" s="15"/>
      <c r="AF72" s="15"/>
      <c r="AG72" s="15"/>
    </row>
    <row r="73" spans="1:33" ht="12.75">
      <c r="A73" s="21">
        <v>65</v>
      </c>
      <c r="B73" s="21" t="s">
        <v>237</v>
      </c>
      <c r="C73" s="224">
        <f>'Table 4 Formula'!BA72</f>
        <v>26653994.1642</v>
      </c>
      <c r="D73" s="322">
        <v>-267469.5182335056</v>
      </c>
      <c r="E73" s="224">
        <f t="shared" si="4"/>
        <v>26386524.645966496</v>
      </c>
      <c r="F73" s="224">
        <f>E73/'Table 4 Formula'!C72</f>
        <v>2584.88681876631</v>
      </c>
      <c r="G73" s="22">
        <f>'[1]Comparison original &amp; adjusted'!$G70</f>
        <v>135587.60460000113</v>
      </c>
      <c r="H73" s="322">
        <f>'[1]Comparison original &amp; adjusted'!$H70</f>
        <v>0</v>
      </c>
      <c r="I73" s="387">
        <f t="shared" si="5"/>
        <v>26522112.250566497</v>
      </c>
      <c r="J73" s="41">
        <v>16176326.052258514</v>
      </c>
      <c r="K73" s="41">
        <f t="shared" si="6"/>
        <v>10345786.198307984</v>
      </c>
      <c r="L73" s="41">
        <f t="shared" si="7"/>
        <v>2586446.549576996</v>
      </c>
      <c r="M73" s="41">
        <v>24388808.119999997</v>
      </c>
      <c r="N73" s="194">
        <f t="shared" si="8"/>
        <v>2133304.1305665</v>
      </c>
      <c r="O73" s="22">
        <f t="shared" si="9"/>
        <v>2133304.1305665</v>
      </c>
      <c r="P73" s="22">
        <f t="shared" si="10"/>
        <v>0</v>
      </c>
      <c r="Q73" s="22">
        <v>27591</v>
      </c>
      <c r="R73" s="201">
        <f t="shared" si="0"/>
        <v>0.75</v>
      </c>
      <c r="S73" s="197">
        <v>595.395238101482</v>
      </c>
      <c r="T73" s="216">
        <f t="shared" si="11"/>
        <v>2353</v>
      </c>
      <c r="U73" s="213"/>
      <c r="V73" s="213">
        <v>2022040.7565323142</v>
      </c>
      <c r="W73" s="196">
        <f t="shared" si="12"/>
        <v>16176326.052258514</v>
      </c>
      <c r="X73" s="206">
        <f>ROUND(U73/8,0)</f>
        <v>0</v>
      </c>
      <c r="Y73" s="22">
        <f>W73-X73</f>
        <v>16176326.052258514</v>
      </c>
      <c r="Z73" s="22" t="e">
        <f>#REF!</f>
        <v>#REF!</v>
      </c>
      <c r="AA73" s="41">
        <v>24398975</v>
      </c>
      <c r="AB73" s="22" t="e">
        <f>#REF!-AA73</f>
        <v>#REF!</v>
      </c>
      <c r="AC73" s="32" t="e">
        <f>AB73/AA73</f>
        <v>#REF!</v>
      </c>
      <c r="AD73" s="15"/>
      <c r="AE73" s="15"/>
      <c r="AF73" s="15"/>
      <c r="AG73" s="15"/>
    </row>
    <row r="74" spans="1:33" ht="12.75">
      <c r="A74" s="34">
        <v>66</v>
      </c>
      <c r="B74" s="35" t="s">
        <v>238</v>
      </c>
      <c r="C74" s="225">
        <f>'Table 4 Formula'!BA73</f>
        <v>12181109.6782</v>
      </c>
      <c r="D74" s="323">
        <v>-122238.35884382723</v>
      </c>
      <c r="E74" s="225">
        <f>C74+D74</f>
        <v>12058871.319356173</v>
      </c>
      <c r="F74" s="386">
        <f>E74/'Table 4 Formula'!C73</f>
        <v>3920.3092715722278</v>
      </c>
      <c r="G74" s="36">
        <f>'[1]Comparison original &amp; adjusted'!$G71</f>
        <v>64433.90869999863</v>
      </c>
      <c r="H74" s="323">
        <f>'[1]Comparison original &amp; adjusted'!$H71</f>
        <v>0</v>
      </c>
      <c r="I74" s="388">
        <f>E74+G74+H74</f>
        <v>12123305.228056172</v>
      </c>
      <c r="J74" s="43">
        <v>7479439.336517777</v>
      </c>
      <c r="K74" s="43">
        <f>I74-J74</f>
        <v>4643865.891538395</v>
      </c>
      <c r="L74" s="43">
        <f>K74/4</f>
        <v>1160966.4728845987</v>
      </c>
      <c r="M74" s="43">
        <v>11310505.2693</v>
      </c>
      <c r="N74" s="195">
        <f>I74-M74</f>
        <v>812799.9587561712</v>
      </c>
      <c r="O74" s="36">
        <f>IF(N74&gt;0,N74,0)</f>
        <v>812799.9587561712</v>
      </c>
      <c r="P74" s="36">
        <f>IF(N74&lt;0,N74,0)</f>
        <v>0</v>
      </c>
      <c r="Q74" s="36">
        <v>26909</v>
      </c>
      <c r="R74" s="202">
        <f>IF(Q74&gt;$R$8,0.5,0.75)</f>
        <v>0.75</v>
      </c>
      <c r="S74" s="198">
        <v>216.625</v>
      </c>
      <c r="T74" s="217">
        <f>ROUND(O74*R74/1.142/S74,0)</f>
        <v>2464</v>
      </c>
      <c r="U74" s="213"/>
      <c r="V74" s="213">
        <v>934929.9170647222</v>
      </c>
      <c r="W74" s="196">
        <f>V74*8</f>
        <v>7479439.336517777</v>
      </c>
      <c r="X74" s="207">
        <f>ROUND(U74/8,0)</f>
        <v>0</v>
      </c>
      <c r="Y74" s="36">
        <f>W74-X74</f>
        <v>7479439.336517777</v>
      </c>
      <c r="Z74" s="36" t="e">
        <f>#REF!</f>
        <v>#REF!</v>
      </c>
      <c r="AA74" s="43">
        <v>11650547</v>
      </c>
      <c r="AB74" s="36" t="e">
        <f>#REF!-AA74</f>
        <v>#REF!</v>
      </c>
      <c r="AC74" s="37" t="e">
        <f>AB74/AA74</f>
        <v>#REF!</v>
      </c>
      <c r="AD74" s="15"/>
      <c r="AE74" s="15"/>
      <c r="AF74" s="15"/>
      <c r="AG74" s="15"/>
    </row>
    <row r="75" spans="1:33" ht="15.75" customHeight="1">
      <c r="A75" s="38"/>
      <c r="B75" s="38"/>
      <c r="C75" s="39"/>
      <c r="D75" s="324"/>
      <c r="E75" s="39"/>
      <c r="F75" s="39"/>
      <c r="G75" s="40"/>
      <c r="H75" s="324"/>
      <c r="I75" s="391"/>
      <c r="J75" s="389"/>
      <c r="K75" s="41"/>
      <c r="L75" s="41"/>
      <c r="M75" s="41"/>
      <c r="N75" s="194"/>
      <c r="O75" s="40"/>
      <c r="P75" s="40"/>
      <c r="Q75" s="40"/>
      <c r="R75" s="203"/>
      <c r="S75" s="199"/>
      <c r="T75" s="218"/>
      <c r="U75" s="214"/>
      <c r="V75" s="214"/>
      <c r="W75" s="196"/>
      <c r="X75" s="208"/>
      <c r="Y75" s="40"/>
      <c r="Z75" s="40"/>
      <c r="AA75" s="40"/>
      <c r="AB75" s="40"/>
      <c r="AC75" s="42"/>
      <c r="AD75" s="15"/>
      <c r="AE75" s="15"/>
      <c r="AF75" s="15"/>
      <c r="AG75" s="15"/>
    </row>
    <row r="76" spans="1:33" s="17" customFormat="1" ht="13.5" thickBot="1">
      <c r="A76" s="23"/>
      <c r="B76" s="291" t="s">
        <v>239</v>
      </c>
      <c r="C76" s="292">
        <f>SUM(C9:C74)</f>
        <v>2284618903.2410994</v>
      </c>
      <c r="D76" s="325">
        <f>SUM(D9:D74)</f>
        <v>-22923820.99999999</v>
      </c>
      <c r="E76" s="325">
        <f>SUM(E9:E74)</f>
        <v>2261695082.241101</v>
      </c>
      <c r="F76" s="385">
        <f>E76/'Table 4 Formula'!C75</f>
        <v>3109.906542053476</v>
      </c>
      <c r="G76" s="293">
        <f>SUM(G9:G75)</f>
        <v>15047662.88160001</v>
      </c>
      <c r="H76" s="293">
        <f>SUM(H9:H75)</f>
        <v>-777232.3861999996</v>
      </c>
      <c r="I76" s="392">
        <f>SUM(I9:I75)</f>
        <v>2275965512.7364993</v>
      </c>
      <c r="J76" s="390">
        <f>SUM(J9:J74)</f>
        <v>1492177876.3204536</v>
      </c>
      <c r="K76" s="292">
        <f>SUM(K9:K74)</f>
        <v>783787636.4160464</v>
      </c>
      <c r="L76" s="292">
        <f>SUM(L9:L74)</f>
        <v>195946909.1040116</v>
      </c>
      <c r="M76" s="292">
        <v>2217620096.0222006</v>
      </c>
      <c r="N76" s="292">
        <f>SUM(N9:N74)</f>
        <v>58345416.71429997</v>
      </c>
      <c r="O76" s="293">
        <f>SUM(O9:O74)</f>
        <v>72595817.49741524</v>
      </c>
      <c r="P76" s="293">
        <f>SUM(P9:P74)</f>
        <v>-14250400.78311523</v>
      </c>
      <c r="Q76" s="24">
        <v>32232</v>
      </c>
      <c r="R76" s="204">
        <f>AVERAGE(R9:R74)</f>
        <v>0.75</v>
      </c>
      <c r="S76" s="200">
        <v>49580.7951378962</v>
      </c>
      <c r="T76" s="219">
        <f>ROUND(O76*R76/1.142/S76,0)</f>
        <v>962</v>
      </c>
      <c r="U76" s="215"/>
      <c r="V76" s="215">
        <f>SUM(V9:V75)</f>
        <v>186522234.5400567</v>
      </c>
      <c r="W76" s="215">
        <f>SUM(W9:W75)</f>
        <v>1492177876.3204536</v>
      </c>
      <c r="X76" s="209">
        <f>SUM(X9:X74)</f>
        <v>0</v>
      </c>
      <c r="Y76" s="24">
        <f>SUM(Y9:Y74)</f>
        <v>1492177876.3204536</v>
      </c>
      <c r="Z76" s="24" t="e">
        <f>SUM(Z9:Z74)</f>
        <v>#REF!</v>
      </c>
      <c r="AA76" s="24">
        <f>SUM(AA9:AA74)</f>
        <v>2243854176</v>
      </c>
      <c r="AB76" s="24" t="e">
        <f>SUM(AB9:AB74)</f>
        <v>#REF!</v>
      </c>
      <c r="AC76" s="33" t="e">
        <f>AB76/AA76</f>
        <v>#REF!</v>
      </c>
      <c r="AD76" s="16"/>
      <c r="AE76" s="16"/>
      <c r="AF76" s="16"/>
      <c r="AG76" s="16"/>
    </row>
    <row r="77" spans="1:33" s="17" customFormat="1" ht="13.5" thickTop="1">
      <c r="A77" s="226"/>
      <c r="B77" s="227"/>
      <c r="C77" s="228"/>
      <c r="D77" s="228"/>
      <c r="E77" s="228"/>
      <c r="F77" s="228"/>
      <c r="G77" s="215"/>
      <c r="H77" s="215"/>
      <c r="I77" s="215"/>
      <c r="J77" s="228"/>
      <c r="K77" s="228"/>
      <c r="L77" s="228"/>
      <c r="M77" s="228"/>
      <c r="N77" s="228"/>
      <c r="O77" s="215"/>
      <c r="P77" s="215"/>
      <c r="Q77" s="215"/>
      <c r="R77" s="229"/>
      <c r="S77" s="230"/>
      <c r="T77" s="215"/>
      <c r="U77" s="215"/>
      <c r="V77" s="215"/>
      <c r="W77" s="215"/>
      <c r="X77" s="215"/>
      <c r="Y77" s="215"/>
      <c r="Z77" s="215"/>
      <c r="AA77" s="215"/>
      <c r="AB77" s="215"/>
      <c r="AC77" s="231"/>
      <c r="AD77" s="16"/>
      <c r="AE77" s="16"/>
      <c r="AF77" s="16"/>
      <c r="AG77" s="16"/>
    </row>
    <row r="78" ht="12.75">
      <c r="H78" s="101"/>
    </row>
    <row r="80" ht="12.75">
      <c r="L80" s="474"/>
    </row>
  </sheetData>
  <mergeCells count="29">
    <mergeCell ref="B1:B2"/>
    <mergeCell ref="M2:P2"/>
    <mergeCell ref="J6:J7"/>
    <mergeCell ref="K6:K7"/>
    <mergeCell ref="M6:M7"/>
    <mergeCell ref="C3:I3"/>
    <mergeCell ref="C1:I1"/>
    <mergeCell ref="C2:I2"/>
    <mergeCell ref="E6:E7"/>
    <mergeCell ref="I6:I7"/>
    <mergeCell ref="U2:AB2"/>
    <mergeCell ref="U1:AB1"/>
    <mergeCell ref="Q1:T1"/>
    <mergeCell ref="Q2:T2"/>
    <mergeCell ref="U3:AB3"/>
    <mergeCell ref="G6:H6"/>
    <mergeCell ref="D6:D7"/>
    <mergeCell ref="C6:C7"/>
    <mergeCell ref="L6:L7"/>
    <mergeCell ref="U6:U7"/>
    <mergeCell ref="V6:V7"/>
    <mergeCell ref="W6:W7"/>
    <mergeCell ref="X6:X7"/>
    <mergeCell ref="F6:F7"/>
    <mergeCell ref="AC6:AC7"/>
    <mergeCell ref="Y6:Y7"/>
    <mergeCell ref="Z6:Z7"/>
    <mergeCell ref="AA6:AA7"/>
    <mergeCell ref="AB6:AB7"/>
  </mergeCells>
  <printOptions horizontalCentered="1"/>
  <pageMargins left="0.43" right="0.45" top="0.44" bottom="0.64" header="0.25" footer="0.21"/>
  <pageSetup firstPageNumber="5" useFirstPageNumber="1" horizontalDpi="600" verticalDpi="600" orientation="portrait" paperSize="5" scale="80" r:id="rId1"/>
  <headerFooter alignWithMargins="0">
    <oddHeader>&amp;RCircular 1063</oddHeader>
    <oddFooter>&amp;L&amp;F, &amp;A, Prepared by Division of Education Finance&amp;R&amp;D, Page &amp;P</oddFooter>
  </headerFooter>
  <colBreaks count="3" manualBreakCount="3">
    <brk id="9" max="65535" man="1"/>
    <brk id="12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713"/>
  <sheetViews>
    <sheetView tabSelected="1" workbookViewId="0" topLeftCell="A58">
      <selection activeCell="J8" sqref="J8:J73"/>
    </sheetView>
  </sheetViews>
  <sheetFormatPr defaultColWidth="9.140625" defaultRowHeight="12.75"/>
  <cols>
    <col min="1" max="1" width="4.00390625" style="2" bestFit="1" customWidth="1"/>
    <col min="2" max="2" width="20.57421875" style="3" customWidth="1"/>
    <col min="3" max="3" width="12.140625" style="3" customWidth="1"/>
    <col min="4" max="4" width="7.57421875" style="3" bestFit="1" customWidth="1"/>
    <col min="5" max="5" width="12.7109375" style="3" bestFit="1" customWidth="1"/>
    <col min="6" max="6" width="8.8515625" style="4" customWidth="1"/>
    <col min="7" max="7" width="9.140625" style="3" bestFit="1" customWidth="1"/>
    <col min="8" max="8" width="11.7109375" style="3" bestFit="1" customWidth="1"/>
    <col min="9" max="9" width="8.7109375" style="3" customWidth="1"/>
    <col min="10" max="10" width="14.140625" style="3" bestFit="1" customWidth="1"/>
    <col min="11" max="11" width="12.140625" style="3" bestFit="1" customWidth="1"/>
    <col min="12" max="12" width="12.00390625" style="3" customWidth="1"/>
    <col min="13" max="13" width="12.00390625" style="3" bestFit="1" customWidth="1"/>
    <col min="14" max="14" width="11.7109375" style="3" bestFit="1" customWidth="1"/>
    <col min="15" max="15" width="9.57421875" style="3" customWidth="1"/>
    <col min="16" max="16" width="20.421875" style="3" hidden="1" customWidth="1"/>
    <col min="17" max="17" width="18.140625" style="5" hidden="1" customWidth="1"/>
    <col min="18" max="18" width="11.7109375" style="3" hidden="1" customWidth="1"/>
    <col min="19" max="19" width="8.8515625" style="3" customWidth="1"/>
    <col min="20" max="20" width="9.140625" style="3" customWidth="1"/>
    <col min="21" max="21" width="11.00390625" style="3" customWidth="1"/>
    <col min="22" max="22" width="8.57421875" style="3" customWidth="1"/>
    <col min="23" max="23" width="14.28125" style="3" bestFit="1" customWidth="1"/>
    <col min="24" max="24" width="10.7109375" style="3" customWidth="1"/>
    <col min="25" max="25" width="11.57421875" style="3" customWidth="1"/>
    <col min="26" max="26" width="11.00390625" style="3" bestFit="1" customWidth="1"/>
    <col min="27" max="27" width="15.28125" style="3" customWidth="1"/>
    <col min="28" max="28" width="9.421875" style="3" customWidth="1"/>
    <col min="29" max="29" width="16.8515625" style="3" customWidth="1"/>
    <col min="30" max="30" width="9.7109375" style="3" customWidth="1"/>
    <col min="31" max="31" width="16.8515625" style="3" customWidth="1"/>
    <col min="32" max="32" width="13.421875" style="3" customWidth="1"/>
    <col min="33" max="33" width="12.28125" style="3" customWidth="1"/>
    <col min="34" max="34" width="14.00390625" style="3" customWidth="1"/>
    <col min="35" max="35" width="13.421875" style="3" customWidth="1"/>
    <col min="36" max="36" width="13.140625" style="3" customWidth="1"/>
    <col min="37" max="37" width="8.8515625" style="3" customWidth="1"/>
    <col min="38" max="39" width="13.8515625" style="3" customWidth="1"/>
    <col min="40" max="40" width="15.421875" style="3" customWidth="1"/>
    <col min="41" max="41" width="10.421875" style="3" customWidth="1"/>
    <col min="42" max="42" width="14.421875" style="3" customWidth="1"/>
    <col min="43" max="43" width="13.8515625" style="3" hidden="1" customWidth="1"/>
    <col min="44" max="44" width="9.8515625" style="3" bestFit="1" customWidth="1"/>
    <col min="45" max="45" width="8.28125" style="3" bestFit="1" customWidth="1"/>
    <col min="46" max="46" width="12.7109375" style="3" hidden="1" customWidth="1"/>
    <col min="47" max="47" width="11.7109375" style="3" bestFit="1" customWidth="1"/>
    <col min="48" max="48" width="11.421875" style="3" customWidth="1"/>
    <col min="49" max="49" width="10.7109375" style="3" customWidth="1"/>
    <col min="50" max="50" width="10.140625" style="3" bestFit="1" customWidth="1"/>
    <col min="51" max="51" width="16.57421875" style="3" customWidth="1"/>
    <col min="52" max="52" width="14.28125" style="3" bestFit="1" customWidth="1"/>
    <col min="53" max="53" width="16.57421875" style="3" customWidth="1"/>
    <col min="54" max="54" width="15.28125" style="3" customWidth="1"/>
    <col min="55" max="55" width="12.57421875" style="3" customWidth="1"/>
    <col min="56" max="56" width="11.28125" style="3" customWidth="1"/>
    <col min="57" max="57" width="15.28125" style="3" customWidth="1"/>
    <col min="58" max="58" width="16.421875" style="3" customWidth="1"/>
    <col min="59" max="59" width="14.421875" style="3" customWidth="1"/>
    <col min="60" max="60" width="16.8515625" style="3" bestFit="1" customWidth="1"/>
    <col min="61" max="61" width="15.8515625" style="3" customWidth="1"/>
    <col min="62" max="62" width="18.7109375" style="3" hidden="1" customWidth="1"/>
    <col min="63" max="63" width="7.7109375" style="3" hidden="1" customWidth="1"/>
    <col min="64" max="64" width="0.13671875" style="3" hidden="1" customWidth="1"/>
    <col min="165" max="16384" width="9.140625" style="3" customWidth="1"/>
  </cols>
  <sheetData>
    <row r="1" spans="1:64" ht="45.75" customHeight="1">
      <c r="A1" s="579"/>
      <c r="B1" s="580"/>
      <c r="C1" s="583" t="s">
        <v>674</v>
      </c>
      <c r="D1" s="584"/>
      <c r="E1" s="584"/>
      <c r="F1" s="584"/>
      <c r="G1" s="584"/>
      <c r="H1" s="584"/>
      <c r="I1" s="584"/>
      <c r="J1" s="584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305" t="s">
        <v>441</v>
      </c>
      <c r="Y1" s="182"/>
      <c r="Z1" s="182"/>
      <c r="AA1" s="182"/>
      <c r="AB1" s="182"/>
      <c r="AE1" s="182"/>
      <c r="AF1" s="305" t="s">
        <v>441</v>
      </c>
      <c r="AG1" s="182"/>
      <c r="AH1" s="182"/>
      <c r="AI1" s="182"/>
      <c r="AL1" s="182"/>
      <c r="AM1" s="182"/>
      <c r="AN1" s="305" t="s">
        <v>441</v>
      </c>
      <c r="AO1" s="181"/>
      <c r="AP1" s="181"/>
      <c r="AS1" s="181"/>
      <c r="AT1" s="181"/>
      <c r="AU1" s="181"/>
      <c r="AW1" s="181"/>
      <c r="AX1" s="181"/>
      <c r="AY1" s="305" t="s">
        <v>441</v>
      </c>
      <c r="BA1" s="305"/>
      <c r="BB1" s="305"/>
      <c r="BD1" s="305"/>
      <c r="BE1" s="305"/>
      <c r="BF1" s="305" t="s">
        <v>369</v>
      </c>
      <c r="BG1" s="305"/>
      <c r="BH1" s="181"/>
      <c r="BI1" s="181"/>
      <c r="BJ1" s="181"/>
      <c r="BK1" s="181"/>
      <c r="BL1" s="181"/>
    </row>
    <row r="2" spans="1:58" ht="25.5" customHeight="1">
      <c r="A2" s="581"/>
      <c r="B2" s="582"/>
      <c r="C2" s="586" t="s">
        <v>367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175"/>
      <c r="AE2" s="1"/>
      <c r="AF2" s="183"/>
      <c r="AG2" s="184"/>
      <c r="AH2" s="184"/>
      <c r="AI2" s="184"/>
      <c r="AJ2" s="184"/>
      <c r="AK2" s="184"/>
      <c r="AL2" s="184"/>
      <c r="AM2" s="185"/>
      <c r="AN2" s="183"/>
      <c r="AO2" s="184"/>
      <c r="AP2" s="184"/>
      <c r="AQ2" s="184"/>
      <c r="AR2" s="184"/>
      <c r="AS2" s="184"/>
      <c r="AT2" s="184"/>
      <c r="AU2" s="185"/>
      <c r="AV2" s="184"/>
      <c r="AW2" s="184"/>
      <c r="AX2" s="184"/>
      <c r="AY2" s="175"/>
      <c r="BF2" s="175"/>
    </row>
    <row r="3" spans="1:164" s="13" customFormat="1" ht="76.5">
      <c r="A3" s="545"/>
      <c r="B3" s="578"/>
      <c r="D3" s="374"/>
      <c r="E3" s="13" t="s">
        <v>518</v>
      </c>
      <c r="F3" s="44"/>
      <c r="L3" s="45"/>
      <c r="P3" s="47" t="s">
        <v>521</v>
      </c>
      <c r="Q3" s="47" t="s">
        <v>522</v>
      </c>
      <c r="R3" s="47" t="s">
        <v>523</v>
      </c>
      <c r="S3" s="47" t="s">
        <v>524</v>
      </c>
      <c r="T3" s="47" t="s">
        <v>389</v>
      </c>
      <c r="U3" s="47" t="s">
        <v>533</v>
      </c>
      <c r="W3" s="47" t="s">
        <v>525</v>
      </c>
      <c r="X3" s="47" t="s">
        <v>526</v>
      </c>
      <c r="Y3" s="47" t="s">
        <v>527</v>
      </c>
      <c r="Z3" s="47" t="s">
        <v>390</v>
      </c>
      <c r="AA3" s="47" t="s">
        <v>391</v>
      </c>
      <c r="AB3" s="47" t="s">
        <v>392</v>
      </c>
      <c r="AC3" s="47" t="s">
        <v>393</v>
      </c>
      <c r="AD3" s="47" t="s">
        <v>394</v>
      </c>
      <c r="AE3" s="47" t="s">
        <v>528</v>
      </c>
      <c r="AF3" s="47" t="s">
        <v>396</v>
      </c>
      <c r="AG3" s="47" t="s">
        <v>397</v>
      </c>
      <c r="AH3" s="47" t="s">
        <v>398</v>
      </c>
      <c r="AI3" s="47" t="s">
        <v>399</v>
      </c>
      <c r="AJ3" s="47" t="s">
        <v>400</v>
      </c>
      <c r="AK3" s="47" t="s">
        <v>401</v>
      </c>
      <c r="AL3" s="47" t="s">
        <v>402</v>
      </c>
      <c r="AM3" s="47" t="s">
        <v>403</v>
      </c>
      <c r="AN3" s="47" t="s">
        <v>404</v>
      </c>
      <c r="AO3" s="47" t="s">
        <v>529</v>
      </c>
      <c r="AP3" s="47"/>
      <c r="AQ3" s="47"/>
      <c r="AR3" s="47" t="s">
        <v>405</v>
      </c>
      <c r="AS3" s="47" t="s">
        <v>406</v>
      </c>
      <c r="AT3" s="47" t="s">
        <v>407</v>
      </c>
      <c r="AU3" s="47" t="s">
        <v>408</v>
      </c>
      <c r="AV3" s="47" t="s">
        <v>409</v>
      </c>
      <c r="AW3" s="47" t="s">
        <v>410</v>
      </c>
      <c r="AX3" s="47" t="s">
        <v>411</v>
      </c>
      <c r="AY3" s="47" t="s">
        <v>412</v>
      </c>
      <c r="AZ3" s="47" t="s">
        <v>413</v>
      </c>
      <c r="BA3" s="47" t="s">
        <v>530</v>
      </c>
      <c r="BB3" s="47" t="s">
        <v>531</v>
      </c>
      <c r="BC3" s="47" t="s">
        <v>414</v>
      </c>
      <c r="BD3" s="47" t="s">
        <v>532</v>
      </c>
      <c r="BE3" s="47" t="s">
        <v>415</v>
      </c>
      <c r="BF3" s="47" t="s">
        <v>417</v>
      </c>
      <c r="BG3" s="47" t="s">
        <v>418</v>
      </c>
      <c r="BH3" s="47" t="s">
        <v>419</v>
      </c>
      <c r="BI3" s="47" t="s">
        <v>421</v>
      </c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</row>
    <row r="4" spans="6:164" s="13" customFormat="1" ht="12.75" customHeight="1">
      <c r="F4" s="294">
        <v>0.17</v>
      </c>
      <c r="G4" s="295"/>
      <c r="H4" s="295" t="s">
        <v>517</v>
      </c>
      <c r="I4" s="296">
        <v>0.05</v>
      </c>
      <c r="J4" s="295"/>
      <c r="K4" s="295" t="s">
        <v>519</v>
      </c>
      <c r="L4" s="296">
        <v>1.5</v>
      </c>
      <c r="M4" s="295"/>
      <c r="N4" s="295" t="s">
        <v>520</v>
      </c>
      <c r="O4" s="294">
        <v>0.6</v>
      </c>
      <c r="Q4" s="46"/>
      <c r="Y4" s="13" t="s">
        <v>0</v>
      </c>
      <c r="Z4" s="13" t="s">
        <v>0</v>
      </c>
      <c r="AA4" s="266">
        <v>0.35</v>
      </c>
      <c r="AB4" s="13" t="s">
        <v>0</v>
      </c>
      <c r="AC4" s="13" t="s">
        <v>0</v>
      </c>
      <c r="AD4" s="13" t="s">
        <v>0</v>
      </c>
      <c r="AF4" s="13" t="s">
        <v>0</v>
      </c>
      <c r="AH4" s="306">
        <v>0.33</v>
      </c>
      <c r="AI4" s="13" t="s">
        <v>0</v>
      </c>
      <c r="AJ4" s="306">
        <v>0.4</v>
      </c>
      <c r="AK4" s="13" t="s">
        <v>0</v>
      </c>
      <c r="AL4" s="306">
        <v>0.4</v>
      </c>
      <c r="AO4" s="13" t="s">
        <v>0</v>
      </c>
      <c r="AV4" s="13" t="s">
        <v>0</v>
      </c>
      <c r="AY4" s="13" t="s">
        <v>0</v>
      </c>
      <c r="AZ4" s="13" t="s">
        <v>0</v>
      </c>
      <c r="BB4" s="13" t="s">
        <v>0</v>
      </c>
      <c r="BC4" s="13" t="s">
        <v>0</v>
      </c>
      <c r="BD4" s="13" t="s">
        <v>0</v>
      </c>
      <c r="BE4" s="13" t="s">
        <v>0</v>
      </c>
      <c r="BF4" s="13" t="s">
        <v>0</v>
      </c>
      <c r="BG4" s="13" t="s">
        <v>0</v>
      </c>
      <c r="BH4" s="13" t="s">
        <v>0</v>
      </c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</row>
    <row r="5" spans="1:164" s="2" customFormat="1" ht="78.75" customHeight="1">
      <c r="A5" s="281" t="s">
        <v>383</v>
      </c>
      <c r="B5" s="281" t="s">
        <v>130</v>
      </c>
      <c r="C5" s="339" t="s">
        <v>661</v>
      </c>
      <c r="D5" s="340" t="s">
        <v>70</v>
      </c>
      <c r="E5" s="340" t="s">
        <v>71</v>
      </c>
      <c r="F5" s="340" t="s">
        <v>670</v>
      </c>
      <c r="G5" s="340" t="s">
        <v>72</v>
      </c>
      <c r="H5" s="340" t="s">
        <v>73</v>
      </c>
      <c r="I5" s="340" t="s">
        <v>671</v>
      </c>
      <c r="J5" s="340" t="s">
        <v>74</v>
      </c>
      <c r="K5" s="340" t="s">
        <v>75</v>
      </c>
      <c r="L5" s="340" t="s">
        <v>672</v>
      </c>
      <c r="M5" s="340" t="s">
        <v>76</v>
      </c>
      <c r="N5" s="340" t="s">
        <v>77</v>
      </c>
      <c r="O5" s="340" t="s">
        <v>673</v>
      </c>
      <c r="P5" s="340" t="s">
        <v>78</v>
      </c>
      <c r="Q5" s="341" t="s">
        <v>79</v>
      </c>
      <c r="R5" s="340" t="s">
        <v>80</v>
      </c>
      <c r="S5" s="340" t="s">
        <v>133</v>
      </c>
      <c r="T5" s="340" t="s">
        <v>134</v>
      </c>
      <c r="U5" s="340" t="s">
        <v>505</v>
      </c>
      <c r="V5" s="340" t="s">
        <v>131</v>
      </c>
      <c r="W5" s="339" t="s">
        <v>155</v>
      </c>
      <c r="X5" s="340" t="s">
        <v>135</v>
      </c>
      <c r="Y5" s="340" t="s">
        <v>136</v>
      </c>
      <c r="Z5" s="340" t="s">
        <v>137</v>
      </c>
      <c r="AA5" s="340" t="s">
        <v>138</v>
      </c>
      <c r="AB5" s="340" t="s">
        <v>139</v>
      </c>
      <c r="AC5" s="339" t="s">
        <v>156</v>
      </c>
      <c r="AD5" s="340" t="s">
        <v>140</v>
      </c>
      <c r="AE5" s="340" t="s">
        <v>395</v>
      </c>
      <c r="AF5" s="340" t="s">
        <v>141</v>
      </c>
      <c r="AG5" s="340" t="s">
        <v>142</v>
      </c>
      <c r="AH5" s="340" t="s">
        <v>143</v>
      </c>
      <c r="AI5" s="340" t="s">
        <v>144</v>
      </c>
      <c r="AJ5" s="339" t="s">
        <v>145</v>
      </c>
      <c r="AK5" s="340" t="s">
        <v>146</v>
      </c>
      <c r="AL5" s="340" t="s">
        <v>147</v>
      </c>
      <c r="AM5" s="340" t="s">
        <v>148</v>
      </c>
      <c r="AN5" s="340" t="s">
        <v>506</v>
      </c>
      <c r="AO5" s="340" t="s">
        <v>507</v>
      </c>
      <c r="AP5" s="342" t="s">
        <v>508</v>
      </c>
      <c r="AQ5" s="342" t="s">
        <v>498</v>
      </c>
      <c r="AR5" s="340" t="s">
        <v>370</v>
      </c>
      <c r="AS5" s="340" t="s">
        <v>149</v>
      </c>
      <c r="AT5" s="340" t="s">
        <v>362</v>
      </c>
      <c r="AU5" s="340" t="s">
        <v>150</v>
      </c>
      <c r="AV5" s="340" t="s">
        <v>151</v>
      </c>
      <c r="AW5" s="340" t="s">
        <v>368</v>
      </c>
      <c r="AX5" s="340" t="s">
        <v>152</v>
      </c>
      <c r="AY5" s="340" t="s">
        <v>153</v>
      </c>
      <c r="AZ5" s="340" t="s">
        <v>509</v>
      </c>
      <c r="BA5" s="339" t="s">
        <v>510</v>
      </c>
      <c r="BB5" s="340" t="s">
        <v>512</v>
      </c>
      <c r="BC5" s="340" t="s">
        <v>149</v>
      </c>
      <c r="BD5" s="340" t="s">
        <v>154</v>
      </c>
      <c r="BE5" s="340" t="s">
        <v>416</v>
      </c>
      <c r="BF5" s="340" t="s">
        <v>511</v>
      </c>
      <c r="BG5" s="340" t="s">
        <v>154</v>
      </c>
      <c r="BH5" s="339" t="s">
        <v>420</v>
      </c>
      <c r="BI5" s="340" t="s">
        <v>689</v>
      </c>
      <c r="BJ5" s="12" t="s">
        <v>96</v>
      </c>
      <c r="BK5" s="11"/>
      <c r="BL5" s="11" t="s">
        <v>1</v>
      </c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</row>
    <row r="6" spans="1:164" s="6" customFormat="1" ht="12.75">
      <c r="A6" s="49"/>
      <c r="B6" s="49"/>
      <c r="C6" s="298" t="s">
        <v>162</v>
      </c>
      <c r="D6" s="332" t="s">
        <v>268</v>
      </c>
      <c r="E6" s="299" t="s">
        <v>269</v>
      </c>
      <c r="F6" s="331" t="s">
        <v>497</v>
      </c>
      <c r="G6" s="331" t="s">
        <v>243</v>
      </c>
      <c r="H6" s="299" t="s">
        <v>244</v>
      </c>
      <c r="I6" s="331" t="s">
        <v>163</v>
      </c>
      <c r="J6" s="331" t="s">
        <v>245</v>
      </c>
      <c r="K6" s="298" t="s">
        <v>246</v>
      </c>
      <c r="L6" s="331" t="s">
        <v>164</v>
      </c>
      <c r="M6" s="332" t="s">
        <v>247</v>
      </c>
      <c r="N6" s="299" t="s">
        <v>248</v>
      </c>
      <c r="O6" s="331" t="s">
        <v>165</v>
      </c>
      <c r="P6" s="299" t="s">
        <v>249</v>
      </c>
      <c r="Q6" s="299" t="s">
        <v>250</v>
      </c>
      <c r="R6" s="299" t="s">
        <v>352</v>
      </c>
      <c r="S6" s="331" t="s">
        <v>166</v>
      </c>
      <c r="T6" s="298" t="s">
        <v>167</v>
      </c>
      <c r="U6" s="298" t="s">
        <v>168</v>
      </c>
      <c r="V6" s="298" t="s">
        <v>169</v>
      </c>
      <c r="W6" s="298" t="s">
        <v>170</v>
      </c>
      <c r="X6" s="298" t="s">
        <v>171</v>
      </c>
      <c r="Y6" s="298" t="s">
        <v>172</v>
      </c>
      <c r="Z6" s="298" t="s">
        <v>251</v>
      </c>
      <c r="AA6" s="298" t="s">
        <v>422</v>
      </c>
      <c r="AB6" s="298" t="s">
        <v>423</v>
      </c>
      <c r="AC6" s="298" t="s">
        <v>252</v>
      </c>
      <c r="AD6" s="298" t="s">
        <v>424</v>
      </c>
      <c r="AE6" s="298" t="s">
        <v>425</v>
      </c>
      <c r="AF6" s="298" t="s">
        <v>426</v>
      </c>
      <c r="AG6" s="298" t="s">
        <v>427</v>
      </c>
      <c r="AH6" s="298" t="s">
        <v>428</v>
      </c>
      <c r="AI6" s="298" t="s">
        <v>429</v>
      </c>
      <c r="AJ6" s="298" t="s">
        <v>430</v>
      </c>
      <c r="AK6" s="298" t="s">
        <v>257</v>
      </c>
      <c r="AL6" s="298" t="s">
        <v>258</v>
      </c>
      <c r="AM6" s="298" t="s">
        <v>259</v>
      </c>
      <c r="AN6" s="298" t="s">
        <v>431</v>
      </c>
      <c r="AO6" s="264" t="s">
        <v>86</v>
      </c>
      <c r="AP6" s="298" t="s">
        <v>432</v>
      </c>
      <c r="AQ6" s="264" t="s">
        <v>355</v>
      </c>
      <c r="AR6" s="264" t="s">
        <v>253</v>
      </c>
      <c r="AS6" s="298" t="s">
        <v>433</v>
      </c>
      <c r="AT6" s="265"/>
      <c r="AU6" s="298" t="s">
        <v>434</v>
      </c>
      <c r="AV6" s="298" t="s">
        <v>435</v>
      </c>
      <c r="AW6" s="298" t="s">
        <v>356</v>
      </c>
      <c r="AX6" s="264" t="s">
        <v>357</v>
      </c>
      <c r="AY6" s="298" t="s">
        <v>436</v>
      </c>
      <c r="AZ6" s="298" t="s">
        <v>437</v>
      </c>
      <c r="BA6" s="298" t="s">
        <v>353</v>
      </c>
      <c r="BB6" s="264" t="s">
        <v>358</v>
      </c>
      <c r="BC6" s="298" t="s">
        <v>438</v>
      </c>
      <c r="BD6" s="298" t="s">
        <v>439</v>
      </c>
      <c r="BE6" s="298" t="s">
        <v>440</v>
      </c>
      <c r="BF6" s="298" t="s">
        <v>359</v>
      </c>
      <c r="BG6" s="298" t="s">
        <v>360</v>
      </c>
      <c r="BH6" s="298" t="s">
        <v>361</v>
      </c>
      <c r="BI6" s="298" t="s">
        <v>254</v>
      </c>
      <c r="BJ6" s="50" t="s">
        <v>312</v>
      </c>
      <c r="BK6" s="49"/>
      <c r="BL6" s="49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</row>
    <row r="7" spans="1:64" ht="12.75">
      <c r="A7" s="51"/>
      <c r="B7" s="52"/>
      <c r="C7" s="52"/>
      <c r="D7" s="51" t="s">
        <v>132</v>
      </c>
      <c r="E7" s="51" t="s">
        <v>132</v>
      </c>
      <c r="F7" s="51"/>
      <c r="G7" s="51" t="s">
        <v>132</v>
      </c>
      <c r="H7" s="51" t="s">
        <v>132</v>
      </c>
      <c r="I7" s="52"/>
      <c r="J7" s="53" t="s">
        <v>132</v>
      </c>
      <c r="K7" s="53" t="s">
        <v>132</v>
      </c>
      <c r="L7" s="158"/>
      <c r="M7" s="333" t="s">
        <v>132</v>
      </c>
      <c r="N7" s="333" t="s">
        <v>132</v>
      </c>
      <c r="O7" s="334"/>
      <c r="P7" s="53" t="s">
        <v>132</v>
      </c>
      <c r="Q7" s="53" t="s">
        <v>132</v>
      </c>
      <c r="R7" s="53" t="s">
        <v>132</v>
      </c>
      <c r="S7" s="52"/>
      <c r="T7" s="52"/>
      <c r="U7" s="52"/>
      <c r="V7" s="52"/>
      <c r="W7" s="52"/>
      <c r="X7" s="52"/>
      <c r="Y7" s="52"/>
      <c r="Z7" s="52"/>
      <c r="AA7" s="52"/>
      <c r="AB7" s="52"/>
      <c r="AC7" s="54"/>
      <c r="AD7" s="52"/>
      <c r="AE7" s="52"/>
      <c r="AF7" s="52"/>
      <c r="AG7" s="52"/>
      <c r="AH7" s="52"/>
      <c r="AI7" s="52"/>
      <c r="AJ7" s="54"/>
      <c r="AK7" s="52"/>
      <c r="AL7" s="52"/>
      <c r="AM7" s="52"/>
      <c r="AN7" s="52"/>
      <c r="AO7" s="52"/>
      <c r="AP7" s="52"/>
      <c r="AQ7" s="53" t="s">
        <v>354</v>
      </c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L7" s="56"/>
    </row>
    <row r="8" spans="1:164" s="7" customFormat="1" ht="12.75">
      <c r="A8" s="60">
        <v>1</v>
      </c>
      <c r="B8" s="61" t="s">
        <v>3</v>
      </c>
      <c r="C8" s="61">
        <v>9811</v>
      </c>
      <c r="D8" s="61">
        <v>6519</v>
      </c>
      <c r="E8" s="62">
        <f>ROUND(V8*F8,0)</f>
        <v>3438124</v>
      </c>
      <c r="F8" s="63">
        <f>ROUND(D8*F$4,0)</f>
        <v>1108</v>
      </c>
      <c r="G8" s="61">
        <v>3092</v>
      </c>
      <c r="H8" s="62">
        <f>ROUND(I8*V8,0)</f>
        <v>480965</v>
      </c>
      <c r="I8" s="63">
        <f>ROUND(G8*I$4,0)</f>
        <v>155</v>
      </c>
      <c r="J8" s="61">
        <v>1645</v>
      </c>
      <c r="K8" s="62">
        <f>ROUND(L8*V8,0)</f>
        <v>7658204</v>
      </c>
      <c r="L8" s="63">
        <f>ROUND(J8*L$4,0)</f>
        <v>2468</v>
      </c>
      <c r="M8" s="61">
        <v>116</v>
      </c>
      <c r="N8" s="62">
        <f>ROUND(O8*V8,0)</f>
        <v>217210</v>
      </c>
      <c r="O8" s="63">
        <f>ROUND(M8*O$4,0)</f>
        <v>70</v>
      </c>
      <c r="P8" s="61">
        <f>IF(C8&lt;7500,7500-C8,0)</f>
        <v>0</v>
      </c>
      <c r="Q8" s="58">
        <f>ROUND(P8/37500,5)</f>
        <v>0</v>
      </c>
      <c r="R8" s="62">
        <f>ROUND(S8*V8,0)</f>
        <v>0</v>
      </c>
      <c r="S8" s="61">
        <f>ROUND(C8*Q8,0)</f>
        <v>0</v>
      </c>
      <c r="T8" s="61">
        <f>SUM(F8+I8+L8+O8+S8,0)</f>
        <v>3801</v>
      </c>
      <c r="U8" s="61">
        <f>T8+C8</f>
        <v>13612</v>
      </c>
      <c r="V8" s="62">
        <f>V$75</f>
        <v>3103</v>
      </c>
      <c r="W8" s="62">
        <f>ROUND(U8*V8,0)</f>
        <v>42238036</v>
      </c>
      <c r="X8" s="65">
        <f>'Tables 6-8 Local Wealth'!M8</f>
        <v>0.59876507</v>
      </c>
      <c r="Y8" s="65">
        <f>ROUND(U8/U$75,8)</f>
        <v>0.01386418</v>
      </c>
      <c r="Z8" s="65">
        <f>ROUND(X8*Y8,8)</f>
        <v>0.00830139</v>
      </c>
      <c r="AA8" s="62">
        <f aca="true" t="shared" si="0" ref="AA8:AA39">IF(W$75*Z8*AA$4&lt;W8,W$75*Z8*AA$4,W8)</f>
        <v>8851737.594577804</v>
      </c>
      <c r="AB8" s="66">
        <f>ROUND(AA8/W8,4)</f>
        <v>0.2096</v>
      </c>
      <c r="AC8" s="67">
        <f>IF(W8-AA8&gt;0,W8-AA8,0)</f>
        <v>33386298.405422196</v>
      </c>
      <c r="AD8" s="66">
        <f>ROUND(AC8/W8,4)</f>
        <v>0.7904</v>
      </c>
      <c r="AE8" s="62">
        <f>'Tables 6-8 Local Wealth'!BI8</f>
        <v>9391842</v>
      </c>
      <c r="AF8" s="62">
        <f>IF(AE8-AA8&gt;0,AE8-AA8,0)</f>
        <v>540104.4054221958</v>
      </c>
      <c r="AG8" s="70">
        <f>IF(AE8-AA8&lt;0,AE8-AA8,0)</f>
        <v>0</v>
      </c>
      <c r="AH8" s="62">
        <f>ROUND(W8*AH$4,0)</f>
        <v>13938552</v>
      </c>
      <c r="AI8" s="62">
        <f>IF(AF8&lt;AH8,AF8,AH8)</f>
        <v>540104.4054221958</v>
      </c>
      <c r="AJ8" s="67">
        <f>IF((1-((1-AJ$4)*X8))*AI8&gt;0,(1-((1-AJ$4)*X8))*AI8,0)</f>
        <v>346067.0141502382</v>
      </c>
      <c r="AK8" s="66">
        <f>IF(AI8=0,0,AJ8/AI8)</f>
        <v>0.6407409580000001</v>
      </c>
      <c r="AL8" s="62">
        <f>IF(((1-((1-AL$4)*X8))*AH8)-AJ8&gt;0,((1-((1-AL$4)*X8))*AH8)-AJ8,0)</f>
        <v>8584934.14746258</v>
      </c>
      <c r="AM8" s="62">
        <f>AI8+AJ8</f>
        <v>886171.4195724339</v>
      </c>
      <c r="AN8" s="62">
        <f>AC8+AJ8</f>
        <v>33732365.419572435</v>
      </c>
      <c r="AO8" s="62">
        <f>ROUND(AN8/C8,5)</f>
        <v>3438.21888</v>
      </c>
      <c r="AP8" s="62">
        <v>33248119.2033</v>
      </c>
      <c r="AQ8" s="57">
        <f>'[1]Table 4 Formula'!$C8</f>
        <v>10007</v>
      </c>
      <c r="AR8" s="62">
        <f>ROUND(AP8/AQ8,2)</f>
        <v>3322.49</v>
      </c>
      <c r="AS8" s="66">
        <f aca="true" t="shared" si="1" ref="AS8:AS39">IF(AO8&gt;0,AR8/AO8,0)</f>
        <v>0.9663404559048899</v>
      </c>
      <c r="AT8" s="162">
        <f>IF(AN8&gt;AP8,AN8-AP8,0)</f>
        <v>484246.2162724361</v>
      </c>
      <c r="AU8" s="62">
        <f aca="true" t="shared" si="2" ref="AU8:AU39">ROUND(BA8-AP8,4)</f>
        <v>484246.2284</v>
      </c>
      <c r="AV8" s="62">
        <f>IF(AY8&gt;AZ8,AY8-AZ8,0)</f>
        <v>0</v>
      </c>
      <c r="AW8" s="61">
        <f aca="true" t="shared" si="3" ref="AW8:AW39">IF(AV8&gt;0,C8,0)</f>
        <v>0</v>
      </c>
      <c r="AX8" s="62">
        <f>IF(AV8&lt;1,0,AV8/AW8)</f>
        <v>0</v>
      </c>
      <c r="AY8" s="62">
        <f aca="true" t="shared" si="4" ref="AY8:AY39">IF((AR8*C8)&gt;AP8,AP8,AR8*C8)</f>
        <v>32596949.389999997</v>
      </c>
      <c r="AZ8" s="62">
        <f>ROUND(AO8*C8,4)</f>
        <v>33732365.4317</v>
      </c>
      <c r="BA8" s="62">
        <f>IF(AY8&gt;AZ8,AY8,AZ8)</f>
        <v>33732365.4317</v>
      </c>
      <c r="BB8" s="62">
        <f aca="true" t="shared" si="5" ref="BB8:BB39">ROUND(BA8/C8,2)</f>
        <v>3438.22</v>
      </c>
      <c r="BC8" s="66">
        <f aca="true" t="shared" si="6" ref="BC8:BC39">IF(AO8&gt;0,BB8/AO8,0)</f>
        <v>1.000000325750058</v>
      </c>
      <c r="BD8" s="66">
        <f>ROUND(BA8/BH8,2)</f>
        <v>0.78</v>
      </c>
      <c r="BE8" s="62">
        <f aca="true" t="shared" si="7" ref="BE8:BE39">ROUND(AA8+AI8-AV8,2)</f>
        <v>9391842</v>
      </c>
      <c r="BF8" s="62">
        <f aca="true" t="shared" si="8" ref="BF8:BF39">ROUND(BE8/C8,2)</f>
        <v>957.28</v>
      </c>
      <c r="BG8" s="66">
        <f>ROUND(BE8/BH8,4)</f>
        <v>0.2178</v>
      </c>
      <c r="BH8" s="62">
        <f>ROUND(BA8+BE8,2)</f>
        <v>43124207.43</v>
      </c>
      <c r="BI8" s="62">
        <f aca="true" t="shared" si="9" ref="BI8:BI39">ROUND(BH8/C8,2)</f>
        <v>4395.5</v>
      </c>
      <c r="BJ8" s="61">
        <v>10571</v>
      </c>
      <c r="BK8" s="7">
        <v>1</v>
      </c>
      <c r="BL8" s="61" t="s">
        <v>3</v>
      </c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</row>
    <row r="9" spans="1:164" s="7" customFormat="1" ht="12.75">
      <c r="A9" s="60">
        <v>2</v>
      </c>
      <c r="B9" s="61" t="s">
        <v>4</v>
      </c>
      <c r="C9" s="61">
        <v>4258</v>
      </c>
      <c r="D9" s="61">
        <v>2458</v>
      </c>
      <c r="E9" s="62">
        <f aca="true" t="shared" si="10" ref="E9:E72">ROUND(V9*F9,0)</f>
        <v>1297054</v>
      </c>
      <c r="F9" s="63">
        <f>ROUND(D9*F$4,0)</f>
        <v>418</v>
      </c>
      <c r="G9" s="61">
        <v>1196</v>
      </c>
      <c r="H9" s="62">
        <f aca="true" t="shared" si="11" ref="H9:H72">ROUND(I9*V9,0)</f>
        <v>186180</v>
      </c>
      <c r="I9" s="61">
        <f aca="true" t="shared" si="12" ref="I9:I72">ROUND(G9*I$4,0)</f>
        <v>60</v>
      </c>
      <c r="J9" s="61">
        <v>457</v>
      </c>
      <c r="K9" s="62">
        <f aca="true" t="shared" si="13" ref="K9:K72">ROUND(L9*V9,0)</f>
        <v>2128658</v>
      </c>
      <c r="L9" s="61">
        <f aca="true" t="shared" si="14" ref="L9:L72">ROUND(J9*L$4,0)</f>
        <v>686</v>
      </c>
      <c r="M9" s="61">
        <v>124</v>
      </c>
      <c r="N9" s="62">
        <f aca="true" t="shared" si="15" ref="N9:N72">ROUND(O9*V9,0)</f>
        <v>229622</v>
      </c>
      <c r="O9" s="61">
        <f aca="true" t="shared" si="16" ref="O9:O72">ROUND(M9*O$4,0)</f>
        <v>74</v>
      </c>
      <c r="P9" s="61">
        <f aca="true" t="shared" si="17" ref="P9:P72">IF(C9&lt;7500,7500-C9,0)</f>
        <v>3242</v>
      </c>
      <c r="Q9" s="58">
        <f aca="true" t="shared" si="18" ref="Q9:Q72">ROUND(P9/37500,5)</f>
        <v>0.08645</v>
      </c>
      <c r="R9" s="62">
        <f aca="true" t="shared" si="19" ref="R9:R72">ROUND(S9*V9,0)</f>
        <v>1141904</v>
      </c>
      <c r="S9" s="61">
        <f aca="true" t="shared" si="20" ref="S9:S72">ROUND(C9*Q9,0)</f>
        <v>368</v>
      </c>
      <c r="T9" s="61">
        <f aca="true" t="shared" si="21" ref="T9:T72">SUM(F9+I9+L9+O9+S9,0)</f>
        <v>1606</v>
      </c>
      <c r="U9" s="61">
        <f aca="true" t="shared" si="22" ref="U9:U72">T9+C9</f>
        <v>5864</v>
      </c>
      <c r="V9" s="62">
        <f aca="true" t="shared" si="23" ref="V9:V72">V$75</f>
        <v>3103</v>
      </c>
      <c r="W9" s="62">
        <f aca="true" t="shared" si="24" ref="W9:W72">ROUND(U9*V9,0)</f>
        <v>18195992</v>
      </c>
      <c r="X9" s="65">
        <f>'Tables 6-8 Local Wealth'!M9</f>
        <v>0.54854555</v>
      </c>
      <c r="Y9" s="65">
        <f aca="true" t="shared" si="25" ref="Y9:Y72">ROUND(U9/U$75,8)</f>
        <v>0.00597264</v>
      </c>
      <c r="Z9" s="65">
        <f aca="true" t="shared" si="26" ref="Z9:Z72">ROUND(X9*Y9,8)</f>
        <v>0.00327627</v>
      </c>
      <c r="AA9" s="62">
        <f t="shared" si="0"/>
        <v>3493473.060413668</v>
      </c>
      <c r="AB9" s="66">
        <f aca="true" t="shared" si="27" ref="AB9:AB72">ROUND(AA9/W9,4)</f>
        <v>0.192</v>
      </c>
      <c r="AC9" s="67">
        <f aca="true" t="shared" si="28" ref="AC9:AC72">IF(W9-AA9&gt;0,W9-AA9,0)</f>
        <v>14702518.939586332</v>
      </c>
      <c r="AD9" s="66">
        <f aca="true" t="shared" si="29" ref="AD9:AD72">ROUND(AC9/W9,4)</f>
        <v>0.808</v>
      </c>
      <c r="AE9" s="62">
        <f>'Tables 6-8 Local Wealth'!BI9</f>
        <v>6442440.5</v>
      </c>
      <c r="AF9" s="62">
        <f aca="true" t="shared" si="30" ref="AF9:AF72">IF(AE9-AA9&gt;0,AE9-AA9,0)</f>
        <v>2948967.439586332</v>
      </c>
      <c r="AG9" s="70">
        <f aca="true" t="shared" si="31" ref="AG9:AG72">IF(AE9-AA9&lt;0,AE9-AA9,0)</f>
        <v>0</v>
      </c>
      <c r="AH9" s="62">
        <f aca="true" t="shared" si="32" ref="AH9:AH72">ROUND(W9*AH$4,0)</f>
        <v>6004677</v>
      </c>
      <c r="AI9" s="62">
        <f aca="true" t="shared" si="33" ref="AI9:AI72">IF(AF9&lt;AH9,AF9,AH9)</f>
        <v>2948967.439586332</v>
      </c>
      <c r="AJ9" s="67">
        <f aca="true" t="shared" si="34" ref="AJ9:AJ72">IF((1-((1-AJ$4)*X9))*AI9&gt;0,(1-((1-AJ$4)*X9))*AI9,0)</f>
        <v>1978381.6599383464</v>
      </c>
      <c r="AK9" s="66">
        <f aca="true" t="shared" si="35" ref="AK9:AK72">IF(AI9=0,0,AJ9/AI9)</f>
        <v>0.6708726700000001</v>
      </c>
      <c r="AL9" s="62">
        <f aca="true" t="shared" si="36" ref="AL9:AL72">IF(((1-((1-AL$4)*X9))*AH9)-AJ9&gt;0,((1-((1-AL$4)*X9))*AH9)-AJ9,0)</f>
        <v>2049992.0315392439</v>
      </c>
      <c r="AM9" s="62">
        <f aca="true" t="shared" si="37" ref="AM9:AM72">AI9+AJ9</f>
        <v>4927349.099524679</v>
      </c>
      <c r="AN9" s="62">
        <f aca="true" t="shared" si="38" ref="AN9:AN72">AC9+AJ9</f>
        <v>16680900.599524679</v>
      </c>
      <c r="AO9" s="62">
        <f aca="true" t="shared" si="39" ref="AO9:AO72">ROUND(AN9/C9,5)</f>
        <v>3917.54359</v>
      </c>
      <c r="AP9" s="62">
        <v>16076706.1799</v>
      </c>
      <c r="AQ9" s="57">
        <f>'[1]Table 4 Formula'!$C9</f>
        <v>4239</v>
      </c>
      <c r="AR9" s="62">
        <f aca="true" t="shared" si="40" ref="AR9:AR72">ROUND(AP9/AQ9,2)</f>
        <v>3792.57</v>
      </c>
      <c r="AS9" s="66">
        <f t="shared" si="1"/>
        <v>0.9680989918481034</v>
      </c>
      <c r="AT9" s="163">
        <f aca="true" t="shared" si="41" ref="AT9:AT72">IF(AN9&gt;AP9,AN9-AP9,0)</f>
        <v>604194.4196246788</v>
      </c>
      <c r="AU9" s="62">
        <f t="shared" si="2"/>
        <v>604194.4263</v>
      </c>
      <c r="AV9" s="62">
        <f aca="true" t="shared" si="42" ref="AV9:AV72">IF(AY9&gt;AZ9,AY9-AZ9,0)</f>
        <v>0</v>
      </c>
      <c r="AW9" s="61">
        <f t="shared" si="3"/>
        <v>0</v>
      </c>
      <c r="AX9" s="62">
        <f aca="true" t="shared" si="43" ref="AX9:AX72">IF(AV9&lt;1,0,AV9/AW9)</f>
        <v>0</v>
      </c>
      <c r="AY9" s="62">
        <f t="shared" si="4"/>
        <v>16076706.1799</v>
      </c>
      <c r="AZ9" s="62">
        <f aca="true" t="shared" si="44" ref="AZ9:AZ72">ROUND(AO9*C9,4)</f>
        <v>16680900.6062</v>
      </c>
      <c r="BA9" s="62">
        <f aca="true" t="shared" si="45" ref="BA9:BA72">IF(AY9&gt;AZ9,AY9,AZ9)</f>
        <v>16680900.6062</v>
      </c>
      <c r="BB9" s="62">
        <f t="shared" si="5"/>
        <v>3917.54</v>
      </c>
      <c r="BC9" s="66">
        <f t="shared" si="6"/>
        <v>0.9999990836094308</v>
      </c>
      <c r="BD9" s="66">
        <f aca="true" t="shared" si="46" ref="BD9:BD72">ROUND(BA9/BH9,2)</f>
        <v>0.72</v>
      </c>
      <c r="BE9" s="62">
        <f t="shared" si="7"/>
        <v>6442440.5</v>
      </c>
      <c r="BF9" s="62">
        <f t="shared" si="8"/>
        <v>1513.02</v>
      </c>
      <c r="BG9" s="66">
        <f aca="true" t="shared" si="47" ref="BG9:BG72">ROUND(BE9/BH9,4)</f>
        <v>0.2786</v>
      </c>
      <c r="BH9" s="62">
        <f aca="true" t="shared" si="48" ref="BH9:BH72">ROUND(BA9+BE9,2)</f>
        <v>23123341.11</v>
      </c>
      <c r="BI9" s="62">
        <f t="shared" si="9"/>
        <v>5430.56</v>
      </c>
      <c r="BJ9" s="61">
        <v>4342</v>
      </c>
      <c r="BK9" s="7">
        <v>2</v>
      </c>
      <c r="BL9" s="61" t="s">
        <v>4</v>
      </c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</row>
    <row r="10" spans="1:164" s="7" customFormat="1" ht="12.75">
      <c r="A10" s="60">
        <v>3</v>
      </c>
      <c r="B10" s="61" t="s">
        <v>5</v>
      </c>
      <c r="C10" s="61">
        <v>14827</v>
      </c>
      <c r="D10" s="61">
        <v>5764</v>
      </c>
      <c r="E10" s="62">
        <f t="shared" si="10"/>
        <v>3040940</v>
      </c>
      <c r="F10" s="63">
        <f aca="true" t="shared" si="49" ref="F10:F72">ROUND(D10*F$4,0)</f>
        <v>980</v>
      </c>
      <c r="G10" s="61">
        <v>2950</v>
      </c>
      <c r="H10" s="62">
        <f t="shared" si="11"/>
        <v>459244</v>
      </c>
      <c r="I10" s="61">
        <f t="shared" si="12"/>
        <v>148</v>
      </c>
      <c r="J10" s="61">
        <v>2236</v>
      </c>
      <c r="K10" s="62">
        <f t="shared" si="13"/>
        <v>10407462</v>
      </c>
      <c r="L10" s="61">
        <f t="shared" si="14"/>
        <v>3354</v>
      </c>
      <c r="M10" s="61">
        <v>352</v>
      </c>
      <c r="N10" s="62">
        <f t="shared" si="15"/>
        <v>654733</v>
      </c>
      <c r="O10" s="61">
        <f t="shared" si="16"/>
        <v>211</v>
      </c>
      <c r="P10" s="61">
        <f t="shared" si="17"/>
        <v>0</v>
      </c>
      <c r="Q10" s="58">
        <f t="shared" si="18"/>
        <v>0</v>
      </c>
      <c r="R10" s="62">
        <f t="shared" si="19"/>
        <v>0</v>
      </c>
      <c r="S10" s="61">
        <f t="shared" si="20"/>
        <v>0</v>
      </c>
      <c r="T10" s="61">
        <f t="shared" si="21"/>
        <v>4693</v>
      </c>
      <c r="U10" s="61">
        <f t="shared" si="22"/>
        <v>19520</v>
      </c>
      <c r="V10" s="62">
        <f t="shared" si="23"/>
        <v>3103</v>
      </c>
      <c r="W10" s="62">
        <f t="shared" si="24"/>
        <v>60570560</v>
      </c>
      <c r="X10" s="65">
        <f>'Tables 6-8 Local Wealth'!M10</f>
        <v>1.26487761</v>
      </c>
      <c r="Y10" s="65">
        <f t="shared" si="25"/>
        <v>0.01988163</v>
      </c>
      <c r="Z10" s="65">
        <f t="shared" si="26"/>
        <v>0.02514783</v>
      </c>
      <c r="AA10" s="62">
        <f t="shared" si="0"/>
        <v>26815026.427267183</v>
      </c>
      <c r="AB10" s="66">
        <f t="shared" si="27"/>
        <v>0.4427</v>
      </c>
      <c r="AC10" s="67">
        <f t="shared" si="28"/>
        <v>33755533.57273282</v>
      </c>
      <c r="AD10" s="66">
        <f t="shared" si="29"/>
        <v>0.5573</v>
      </c>
      <c r="AE10" s="62">
        <f>'Tables 6-8 Local Wealth'!BI10</f>
        <v>50052068.5</v>
      </c>
      <c r="AF10" s="62">
        <f t="shared" si="30"/>
        <v>23237042.072732817</v>
      </c>
      <c r="AG10" s="70">
        <f t="shared" si="31"/>
        <v>0</v>
      </c>
      <c r="AH10" s="62">
        <f t="shared" si="32"/>
        <v>19988285</v>
      </c>
      <c r="AI10" s="62">
        <f t="shared" si="33"/>
        <v>19988285</v>
      </c>
      <c r="AJ10" s="67">
        <f t="shared" si="34"/>
        <v>4818644.504720689</v>
      </c>
      <c r="AK10" s="66">
        <f t="shared" si="35"/>
        <v>0.24107343399999995</v>
      </c>
      <c r="AL10" s="62">
        <f t="shared" si="36"/>
        <v>0</v>
      </c>
      <c r="AM10" s="62">
        <f t="shared" si="37"/>
        <v>24806929.504720688</v>
      </c>
      <c r="AN10" s="62">
        <f t="shared" si="38"/>
        <v>38574178.07745351</v>
      </c>
      <c r="AO10" s="62">
        <f t="shared" si="39"/>
        <v>2601.61719</v>
      </c>
      <c r="AP10" s="62">
        <v>36863857</v>
      </c>
      <c r="AQ10" s="57">
        <f>'[1]Table 4 Formula'!$C10</f>
        <v>14655</v>
      </c>
      <c r="AR10" s="62">
        <f t="shared" si="40"/>
        <v>2515.45</v>
      </c>
      <c r="AS10" s="66">
        <f t="shared" si="1"/>
        <v>0.9668793739789211</v>
      </c>
      <c r="AT10" s="163">
        <f t="shared" si="41"/>
        <v>1710321.077453509</v>
      </c>
      <c r="AU10" s="62">
        <f t="shared" si="2"/>
        <v>1710321.0761</v>
      </c>
      <c r="AV10" s="62">
        <f t="shared" si="42"/>
        <v>0</v>
      </c>
      <c r="AW10" s="61">
        <f t="shared" si="3"/>
        <v>0</v>
      </c>
      <c r="AX10" s="62">
        <f t="shared" si="43"/>
        <v>0</v>
      </c>
      <c r="AY10" s="62">
        <f t="shared" si="4"/>
        <v>36863857</v>
      </c>
      <c r="AZ10" s="62">
        <f t="shared" si="44"/>
        <v>38574178.0761</v>
      </c>
      <c r="BA10" s="62">
        <f t="shared" si="45"/>
        <v>38574178.0761</v>
      </c>
      <c r="BB10" s="62">
        <f t="shared" si="5"/>
        <v>2601.62</v>
      </c>
      <c r="BC10" s="66">
        <f t="shared" si="6"/>
        <v>1.0000010800974144</v>
      </c>
      <c r="BD10" s="66">
        <f t="shared" si="46"/>
        <v>0.45</v>
      </c>
      <c r="BE10" s="62">
        <f t="shared" si="7"/>
        <v>46803311.43</v>
      </c>
      <c r="BF10" s="62">
        <f t="shared" si="8"/>
        <v>3156.63</v>
      </c>
      <c r="BG10" s="66">
        <f t="shared" si="47"/>
        <v>0.5482</v>
      </c>
      <c r="BH10" s="62">
        <f t="shared" si="48"/>
        <v>85377489.51</v>
      </c>
      <c r="BI10" s="62">
        <f t="shared" si="9"/>
        <v>5758.24</v>
      </c>
      <c r="BJ10" s="61">
        <v>14521</v>
      </c>
      <c r="BK10" s="7">
        <v>3</v>
      </c>
      <c r="BL10" s="61" t="s">
        <v>5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</row>
    <row r="11" spans="1:164" s="7" customFormat="1" ht="12.75">
      <c r="A11" s="60">
        <v>4</v>
      </c>
      <c r="B11" s="61" t="s">
        <v>6</v>
      </c>
      <c r="C11" s="61">
        <v>4409</v>
      </c>
      <c r="D11" s="61">
        <v>2931</v>
      </c>
      <c r="E11" s="62">
        <f t="shared" si="10"/>
        <v>1545294</v>
      </c>
      <c r="F11" s="63">
        <f t="shared" si="49"/>
        <v>498</v>
      </c>
      <c r="G11" s="61">
        <v>1200</v>
      </c>
      <c r="H11" s="62">
        <f t="shared" si="11"/>
        <v>186180</v>
      </c>
      <c r="I11" s="61">
        <f t="shared" si="12"/>
        <v>60</v>
      </c>
      <c r="J11" s="61">
        <v>592</v>
      </c>
      <c r="K11" s="62">
        <f t="shared" si="13"/>
        <v>2755464</v>
      </c>
      <c r="L11" s="61">
        <f t="shared" si="14"/>
        <v>888</v>
      </c>
      <c r="M11" s="61">
        <v>66</v>
      </c>
      <c r="N11" s="62">
        <f t="shared" si="15"/>
        <v>124120</v>
      </c>
      <c r="O11" s="61">
        <f t="shared" si="16"/>
        <v>40</v>
      </c>
      <c r="P11" s="61">
        <f t="shared" si="17"/>
        <v>3091</v>
      </c>
      <c r="Q11" s="58">
        <f t="shared" si="18"/>
        <v>0.08243</v>
      </c>
      <c r="R11" s="62">
        <f t="shared" si="19"/>
        <v>1126389</v>
      </c>
      <c r="S11" s="61">
        <f t="shared" si="20"/>
        <v>363</v>
      </c>
      <c r="T11" s="61">
        <f t="shared" si="21"/>
        <v>1849</v>
      </c>
      <c r="U11" s="61">
        <f t="shared" si="22"/>
        <v>6258</v>
      </c>
      <c r="V11" s="62">
        <f t="shared" si="23"/>
        <v>3103</v>
      </c>
      <c r="W11" s="62">
        <f t="shared" si="24"/>
        <v>19418574</v>
      </c>
      <c r="X11" s="65">
        <f>'Tables 6-8 Local Wealth'!M11</f>
        <v>0.53432537</v>
      </c>
      <c r="Y11" s="65">
        <f t="shared" si="25"/>
        <v>0.00637394</v>
      </c>
      <c r="Z11" s="65">
        <f t="shared" si="26"/>
        <v>0.00340576</v>
      </c>
      <c r="AA11" s="62">
        <f t="shared" si="0"/>
        <v>3631547.7082885276</v>
      </c>
      <c r="AB11" s="66">
        <f t="shared" si="27"/>
        <v>0.187</v>
      </c>
      <c r="AC11" s="67">
        <f t="shared" si="28"/>
        <v>15787026.291711472</v>
      </c>
      <c r="AD11" s="66">
        <f t="shared" si="29"/>
        <v>0.813</v>
      </c>
      <c r="AE11" s="62">
        <f>'Tables 6-8 Local Wealth'!BI11</f>
        <v>7174214</v>
      </c>
      <c r="AF11" s="62">
        <f t="shared" si="30"/>
        <v>3542666.2917114724</v>
      </c>
      <c r="AG11" s="70">
        <f t="shared" si="31"/>
        <v>0</v>
      </c>
      <c r="AH11" s="62">
        <f t="shared" si="32"/>
        <v>6408129</v>
      </c>
      <c r="AI11" s="62">
        <f t="shared" si="33"/>
        <v>3542666.2917114724</v>
      </c>
      <c r="AJ11" s="67">
        <f t="shared" si="34"/>
        <v>2406904.405448316</v>
      </c>
      <c r="AK11" s="66">
        <f t="shared" si="35"/>
        <v>0.679404778</v>
      </c>
      <c r="AL11" s="62">
        <f t="shared" si="36"/>
        <v>1946809.0551920454</v>
      </c>
      <c r="AM11" s="62">
        <f t="shared" si="37"/>
        <v>5949570.697159789</v>
      </c>
      <c r="AN11" s="62">
        <f t="shared" si="38"/>
        <v>18193930.69715979</v>
      </c>
      <c r="AO11" s="62">
        <f t="shared" si="39"/>
        <v>4126.54359</v>
      </c>
      <c r="AP11" s="62">
        <v>18225981.0569</v>
      </c>
      <c r="AQ11" s="57">
        <f>'[1]Table 4 Formula'!$C11</f>
        <v>4551</v>
      </c>
      <c r="AR11" s="62">
        <f t="shared" si="40"/>
        <v>4004.83</v>
      </c>
      <c r="AS11" s="66">
        <f t="shared" si="1"/>
        <v>0.9705047123953923</v>
      </c>
      <c r="AT11" s="163">
        <f t="shared" si="41"/>
        <v>0</v>
      </c>
      <c r="AU11" s="62">
        <f t="shared" si="2"/>
        <v>-32050.3686</v>
      </c>
      <c r="AV11" s="62">
        <f t="shared" si="42"/>
        <v>0</v>
      </c>
      <c r="AW11" s="61">
        <f t="shared" si="3"/>
        <v>0</v>
      </c>
      <c r="AX11" s="62">
        <f t="shared" si="43"/>
        <v>0</v>
      </c>
      <c r="AY11" s="62">
        <f t="shared" si="4"/>
        <v>17657295.47</v>
      </c>
      <c r="AZ11" s="62">
        <f t="shared" si="44"/>
        <v>18193930.6883</v>
      </c>
      <c r="BA11" s="62">
        <f t="shared" si="45"/>
        <v>18193930.6883</v>
      </c>
      <c r="BB11" s="62">
        <f t="shared" si="5"/>
        <v>4126.54</v>
      </c>
      <c r="BC11" s="66">
        <f t="shared" si="6"/>
        <v>0.9999991300225184</v>
      </c>
      <c r="BD11" s="66">
        <f t="shared" si="46"/>
        <v>0.72</v>
      </c>
      <c r="BE11" s="62">
        <f t="shared" si="7"/>
        <v>7174214</v>
      </c>
      <c r="BF11" s="62">
        <f t="shared" si="8"/>
        <v>1627.17</v>
      </c>
      <c r="BG11" s="66">
        <f t="shared" si="47"/>
        <v>0.2828</v>
      </c>
      <c r="BH11" s="62">
        <f t="shared" si="48"/>
        <v>25368144.69</v>
      </c>
      <c r="BI11" s="62">
        <f t="shared" si="9"/>
        <v>5753.72</v>
      </c>
      <c r="BJ11" s="61">
        <v>4594</v>
      </c>
      <c r="BK11" s="7">
        <v>4</v>
      </c>
      <c r="BL11" s="61" t="s">
        <v>6</v>
      </c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</row>
    <row r="12" spans="1:164" s="92" customFormat="1" ht="12.75">
      <c r="A12" s="83">
        <v>5</v>
      </c>
      <c r="B12" s="84" t="s">
        <v>7</v>
      </c>
      <c r="C12" s="84">
        <v>6896</v>
      </c>
      <c r="D12" s="84">
        <v>5197</v>
      </c>
      <c r="E12" s="85">
        <f t="shared" si="10"/>
        <v>2739949</v>
      </c>
      <c r="F12" s="86">
        <f t="shared" si="49"/>
        <v>883</v>
      </c>
      <c r="G12" s="84">
        <v>2376</v>
      </c>
      <c r="H12" s="85">
        <f t="shared" si="11"/>
        <v>369257</v>
      </c>
      <c r="I12" s="84">
        <f t="shared" si="12"/>
        <v>119</v>
      </c>
      <c r="J12" s="84">
        <v>769</v>
      </c>
      <c r="K12" s="85">
        <f t="shared" si="13"/>
        <v>3580862</v>
      </c>
      <c r="L12" s="84">
        <f t="shared" si="14"/>
        <v>1154</v>
      </c>
      <c r="M12" s="84">
        <v>27</v>
      </c>
      <c r="N12" s="85">
        <f t="shared" si="15"/>
        <v>49648</v>
      </c>
      <c r="O12" s="84">
        <f t="shared" si="16"/>
        <v>16</v>
      </c>
      <c r="P12" s="84">
        <f t="shared" si="17"/>
        <v>604</v>
      </c>
      <c r="Q12" s="87">
        <f t="shared" si="18"/>
        <v>0.01611</v>
      </c>
      <c r="R12" s="85">
        <f t="shared" si="19"/>
        <v>344433</v>
      </c>
      <c r="S12" s="84">
        <f t="shared" si="20"/>
        <v>111</v>
      </c>
      <c r="T12" s="84">
        <f t="shared" si="21"/>
        <v>2283</v>
      </c>
      <c r="U12" s="61">
        <f t="shared" si="22"/>
        <v>9179</v>
      </c>
      <c r="V12" s="85">
        <f t="shared" si="23"/>
        <v>3103</v>
      </c>
      <c r="W12" s="85">
        <f t="shared" si="24"/>
        <v>28482437</v>
      </c>
      <c r="X12" s="89">
        <f>'Tables 6-8 Local Wealth'!M12</f>
        <v>0.52042956</v>
      </c>
      <c r="Y12" s="89">
        <f t="shared" si="25"/>
        <v>0.00934905</v>
      </c>
      <c r="Z12" s="89">
        <f t="shared" si="26"/>
        <v>0.00486552</v>
      </c>
      <c r="AA12" s="85">
        <f t="shared" si="0"/>
        <v>5188083.7186507555</v>
      </c>
      <c r="AB12" s="90">
        <f t="shared" si="27"/>
        <v>0.1822</v>
      </c>
      <c r="AC12" s="91">
        <f t="shared" si="28"/>
        <v>23294353.281349245</v>
      </c>
      <c r="AD12" s="90">
        <f t="shared" si="29"/>
        <v>0.8178</v>
      </c>
      <c r="AE12" s="85">
        <f>'Tables 6-8 Local Wealth'!BI12</f>
        <v>6389546</v>
      </c>
      <c r="AF12" s="85">
        <f t="shared" si="30"/>
        <v>1201462.2813492445</v>
      </c>
      <c r="AG12" s="104">
        <f t="shared" si="31"/>
        <v>0</v>
      </c>
      <c r="AH12" s="85">
        <f t="shared" si="32"/>
        <v>9399204</v>
      </c>
      <c r="AI12" s="85">
        <f t="shared" si="33"/>
        <v>1201462.2813492445</v>
      </c>
      <c r="AJ12" s="91">
        <f t="shared" si="34"/>
        <v>826296.3894857345</v>
      </c>
      <c r="AK12" s="90">
        <f t="shared" si="35"/>
        <v>0.687742264</v>
      </c>
      <c r="AL12" s="85">
        <f t="shared" si="36"/>
        <v>5637933.449272122</v>
      </c>
      <c r="AM12" s="85">
        <f t="shared" si="37"/>
        <v>2027758.670834979</v>
      </c>
      <c r="AN12" s="85">
        <f t="shared" si="38"/>
        <v>24120649.67083498</v>
      </c>
      <c r="AO12" s="85">
        <f t="shared" si="39"/>
        <v>3497.77402</v>
      </c>
      <c r="AP12" s="85">
        <v>23833877.4638</v>
      </c>
      <c r="AQ12" s="100">
        <f>'[1]Table 4 Formula'!$C12</f>
        <v>7189</v>
      </c>
      <c r="AR12" s="85">
        <f t="shared" si="40"/>
        <v>3315.33</v>
      </c>
      <c r="AS12" s="90">
        <f t="shared" si="1"/>
        <v>0.9478399636578009</v>
      </c>
      <c r="AT12" s="164">
        <f t="shared" si="41"/>
        <v>286772.20703498274</v>
      </c>
      <c r="AU12" s="85">
        <f t="shared" si="2"/>
        <v>286772.1781</v>
      </c>
      <c r="AV12" s="85">
        <f t="shared" si="42"/>
        <v>0</v>
      </c>
      <c r="AW12" s="84">
        <f t="shared" si="3"/>
        <v>0</v>
      </c>
      <c r="AX12" s="85">
        <f t="shared" si="43"/>
        <v>0</v>
      </c>
      <c r="AY12" s="85">
        <f t="shared" si="4"/>
        <v>22862515.68</v>
      </c>
      <c r="AZ12" s="85">
        <f t="shared" si="44"/>
        <v>24120649.6419</v>
      </c>
      <c r="BA12" s="85">
        <f t="shared" si="45"/>
        <v>24120649.6419</v>
      </c>
      <c r="BB12" s="85">
        <f t="shared" si="5"/>
        <v>3497.77</v>
      </c>
      <c r="BC12" s="90">
        <f t="shared" si="6"/>
        <v>0.9999988506976217</v>
      </c>
      <c r="BD12" s="90">
        <f t="shared" si="46"/>
        <v>0.79</v>
      </c>
      <c r="BE12" s="85">
        <f t="shared" si="7"/>
        <v>6389546</v>
      </c>
      <c r="BF12" s="85">
        <f t="shared" si="8"/>
        <v>926.56</v>
      </c>
      <c r="BG12" s="90">
        <f t="shared" si="47"/>
        <v>0.2094</v>
      </c>
      <c r="BH12" s="85">
        <f t="shared" si="48"/>
        <v>30510195.64</v>
      </c>
      <c r="BI12" s="85">
        <f t="shared" si="9"/>
        <v>4424.33</v>
      </c>
      <c r="BJ12" s="84">
        <v>7412</v>
      </c>
      <c r="BK12" s="92">
        <v>5</v>
      </c>
      <c r="BL12" s="84" t="s">
        <v>7</v>
      </c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</row>
    <row r="13" spans="1:164" s="7" customFormat="1" ht="12.75">
      <c r="A13" s="60">
        <v>6</v>
      </c>
      <c r="B13" s="61" t="s">
        <v>8</v>
      </c>
      <c r="C13" s="61">
        <v>6062</v>
      </c>
      <c r="D13" s="61">
        <v>2619</v>
      </c>
      <c r="E13" s="62">
        <f t="shared" si="10"/>
        <v>1380835</v>
      </c>
      <c r="F13" s="63">
        <f t="shared" si="49"/>
        <v>445</v>
      </c>
      <c r="G13" s="61">
        <v>1765</v>
      </c>
      <c r="H13" s="62">
        <f t="shared" si="11"/>
        <v>273064</v>
      </c>
      <c r="I13" s="61">
        <f t="shared" si="12"/>
        <v>88</v>
      </c>
      <c r="J13" s="61">
        <v>716</v>
      </c>
      <c r="K13" s="62">
        <f t="shared" si="13"/>
        <v>3332622</v>
      </c>
      <c r="L13" s="61">
        <f t="shared" si="14"/>
        <v>1074</v>
      </c>
      <c r="M13" s="61">
        <v>196</v>
      </c>
      <c r="N13" s="62">
        <f t="shared" si="15"/>
        <v>366154</v>
      </c>
      <c r="O13" s="61">
        <f t="shared" si="16"/>
        <v>118</v>
      </c>
      <c r="P13" s="61">
        <f t="shared" si="17"/>
        <v>1438</v>
      </c>
      <c r="Q13" s="58">
        <f t="shared" si="18"/>
        <v>0.03835</v>
      </c>
      <c r="R13" s="62">
        <f t="shared" si="19"/>
        <v>719896</v>
      </c>
      <c r="S13" s="61">
        <f t="shared" si="20"/>
        <v>232</v>
      </c>
      <c r="T13" s="61">
        <f t="shared" si="21"/>
        <v>1957</v>
      </c>
      <c r="U13" s="189">
        <f t="shared" si="22"/>
        <v>8019</v>
      </c>
      <c r="V13" s="62">
        <f t="shared" si="23"/>
        <v>3103</v>
      </c>
      <c r="W13" s="62">
        <f t="shared" si="24"/>
        <v>24882957</v>
      </c>
      <c r="X13" s="65">
        <f>'Tables 6-8 Local Wealth'!M13</f>
        <v>0.79536845</v>
      </c>
      <c r="Y13" s="65">
        <f t="shared" si="25"/>
        <v>0.00816756</v>
      </c>
      <c r="Z13" s="65">
        <f t="shared" si="26"/>
        <v>0.00649622</v>
      </c>
      <c r="AA13" s="62">
        <f t="shared" si="0"/>
        <v>6926892.33931284</v>
      </c>
      <c r="AB13" s="66">
        <f t="shared" si="27"/>
        <v>0.2784</v>
      </c>
      <c r="AC13" s="67">
        <f t="shared" si="28"/>
        <v>17956064.66068716</v>
      </c>
      <c r="AD13" s="66">
        <f t="shared" si="29"/>
        <v>0.7216</v>
      </c>
      <c r="AE13" s="62">
        <f>'Tables 6-8 Local Wealth'!BI13</f>
        <v>12513493</v>
      </c>
      <c r="AF13" s="62">
        <f t="shared" si="30"/>
        <v>5586600.66068716</v>
      </c>
      <c r="AG13" s="70">
        <f t="shared" si="31"/>
        <v>0</v>
      </c>
      <c r="AH13" s="62">
        <f t="shared" si="32"/>
        <v>8211376</v>
      </c>
      <c r="AI13" s="62">
        <f t="shared" si="33"/>
        <v>5586600.66068716</v>
      </c>
      <c r="AJ13" s="67">
        <f t="shared" si="34"/>
        <v>2920557.115731327</v>
      </c>
      <c r="AK13" s="66">
        <f t="shared" si="35"/>
        <v>0.5227789300000001</v>
      </c>
      <c r="AL13" s="62">
        <f t="shared" si="36"/>
        <v>1372177.2433763538</v>
      </c>
      <c r="AM13" s="62">
        <f t="shared" si="37"/>
        <v>8507157.776418487</v>
      </c>
      <c r="AN13" s="62">
        <f t="shared" si="38"/>
        <v>20876621.776418485</v>
      </c>
      <c r="AO13" s="62">
        <f t="shared" si="39"/>
        <v>3443.85051</v>
      </c>
      <c r="AP13" s="62">
        <v>20094326.91</v>
      </c>
      <c r="AQ13" s="57">
        <f>'[1]Table 4 Formula'!$C13</f>
        <v>6120</v>
      </c>
      <c r="AR13" s="62">
        <f t="shared" si="40"/>
        <v>3283.39</v>
      </c>
      <c r="AS13" s="66">
        <f t="shared" si="1"/>
        <v>0.9534066564346894</v>
      </c>
      <c r="AT13" s="163">
        <f t="shared" si="41"/>
        <v>782294.8664184846</v>
      </c>
      <c r="AU13" s="62">
        <f t="shared" si="2"/>
        <v>782294.8816</v>
      </c>
      <c r="AV13" s="62">
        <f t="shared" si="42"/>
        <v>0</v>
      </c>
      <c r="AW13" s="61">
        <f t="shared" si="3"/>
        <v>0</v>
      </c>
      <c r="AX13" s="62">
        <f t="shared" si="43"/>
        <v>0</v>
      </c>
      <c r="AY13" s="62">
        <f t="shared" si="4"/>
        <v>19903910.18</v>
      </c>
      <c r="AZ13" s="62">
        <f t="shared" si="44"/>
        <v>20876621.7916</v>
      </c>
      <c r="BA13" s="62">
        <f t="shared" si="45"/>
        <v>20876621.7916</v>
      </c>
      <c r="BB13" s="62">
        <f t="shared" si="5"/>
        <v>3443.85</v>
      </c>
      <c r="BC13" s="66">
        <f t="shared" si="6"/>
        <v>0.9999998519099482</v>
      </c>
      <c r="BD13" s="66">
        <f t="shared" si="46"/>
        <v>0.63</v>
      </c>
      <c r="BE13" s="62">
        <f t="shared" si="7"/>
        <v>12513493</v>
      </c>
      <c r="BF13" s="62">
        <f t="shared" si="8"/>
        <v>2064.25</v>
      </c>
      <c r="BG13" s="66">
        <f t="shared" si="47"/>
        <v>0.3748</v>
      </c>
      <c r="BH13" s="62">
        <f t="shared" si="48"/>
        <v>33390114.79</v>
      </c>
      <c r="BI13" s="62">
        <f t="shared" si="9"/>
        <v>5508.1</v>
      </c>
      <c r="BJ13" s="61">
        <v>6282</v>
      </c>
      <c r="BK13" s="7">
        <v>6</v>
      </c>
      <c r="BL13" s="61" t="s">
        <v>8</v>
      </c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s="7" customFormat="1" ht="12.75">
      <c r="A14" s="60">
        <v>7</v>
      </c>
      <c r="B14" s="61" t="s">
        <v>9</v>
      </c>
      <c r="C14" s="61">
        <v>2528</v>
      </c>
      <c r="D14" s="61">
        <v>1808</v>
      </c>
      <c r="E14" s="62">
        <f t="shared" si="10"/>
        <v>952621</v>
      </c>
      <c r="F14" s="63">
        <f t="shared" si="49"/>
        <v>307</v>
      </c>
      <c r="G14" s="61">
        <v>1041</v>
      </c>
      <c r="H14" s="62">
        <f t="shared" si="11"/>
        <v>161356</v>
      </c>
      <c r="I14" s="61">
        <f t="shared" si="12"/>
        <v>52</v>
      </c>
      <c r="J14" s="61">
        <v>337</v>
      </c>
      <c r="K14" s="62">
        <f t="shared" si="13"/>
        <v>1570118</v>
      </c>
      <c r="L14" s="61">
        <f t="shared" si="14"/>
        <v>506</v>
      </c>
      <c r="M14" s="61">
        <v>32</v>
      </c>
      <c r="N14" s="62">
        <f t="shared" si="15"/>
        <v>58957</v>
      </c>
      <c r="O14" s="61">
        <f t="shared" si="16"/>
        <v>19</v>
      </c>
      <c r="P14" s="61">
        <f t="shared" si="17"/>
        <v>4972</v>
      </c>
      <c r="Q14" s="58">
        <f t="shared" si="18"/>
        <v>0.13259</v>
      </c>
      <c r="R14" s="62">
        <f t="shared" si="19"/>
        <v>1039505</v>
      </c>
      <c r="S14" s="61">
        <f t="shared" si="20"/>
        <v>335</v>
      </c>
      <c r="T14" s="61">
        <f t="shared" si="21"/>
        <v>1219</v>
      </c>
      <c r="U14" s="61">
        <f t="shared" si="22"/>
        <v>3747</v>
      </c>
      <c r="V14" s="62">
        <f t="shared" si="23"/>
        <v>3103</v>
      </c>
      <c r="W14" s="62">
        <f t="shared" si="24"/>
        <v>11626941</v>
      </c>
      <c r="X14" s="65">
        <f>'Tables 6-8 Local Wealth'!M14</f>
        <v>1.1673463</v>
      </c>
      <c r="Y14" s="65">
        <f t="shared" si="25"/>
        <v>0.00381642</v>
      </c>
      <c r="Z14" s="65">
        <f t="shared" si="26"/>
        <v>0.00445508</v>
      </c>
      <c r="AA14" s="62">
        <f t="shared" si="0"/>
        <v>4750433.255497173</v>
      </c>
      <c r="AB14" s="66">
        <f t="shared" si="27"/>
        <v>0.4086</v>
      </c>
      <c r="AC14" s="67">
        <f t="shared" si="28"/>
        <v>6876507.744502827</v>
      </c>
      <c r="AD14" s="66">
        <f t="shared" si="29"/>
        <v>0.5914</v>
      </c>
      <c r="AE14" s="62">
        <f>'Tables 6-8 Local Wealth'!BI14</f>
        <v>7951072.5</v>
      </c>
      <c r="AF14" s="62">
        <f t="shared" si="30"/>
        <v>3200639.2445028266</v>
      </c>
      <c r="AG14" s="70">
        <f t="shared" si="31"/>
        <v>0</v>
      </c>
      <c r="AH14" s="62">
        <f t="shared" si="32"/>
        <v>3836891</v>
      </c>
      <c r="AI14" s="62">
        <f t="shared" si="33"/>
        <v>3200639.2445028266</v>
      </c>
      <c r="AJ14" s="67">
        <f t="shared" si="34"/>
        <v>958886.6166797249</v>
      </c>
      <c r="AK14" s="66">
        <f t="shared" si="35"/>
        <v>0.2995922200000001</v>
      </c>
      <c r="AL14" s="62">
        <f t="shared" si="36"/>
        <v>190616.07590829546</v>
      </c>
      <c r="AM14" s="62">
        <f t="shared" si="37"/>
        <v>4159525.8611825514</v>
      </c>
      <c r="AN14" s="62">
        <f t="shared" si="38"/>
        <v>7835394.361182552</v>
      </c>
      <c r="AO14" s="62">
        <f t="shared" si="39"/>
        <v>3099.44397</v>
      </c>
      <c r="AP14" s="62">
        <v>8038432.003</v>
      </c>
      <c r="AQ14" s="57">
        <f>'[1]Table 4 Formula'!$C14</f>
        <v>2657</v>
      </c>
      <c r="AR14" s="62">
        <f t="shared" si="40"/>
        <v>3025.38</v>
      </c>
      <c r="AS14" s="66">
        <f t="shared" si="1"/>
        <v>0.9761041106995718</v>
      </c>
      <c r="AT14" s="163">
        <f t="shared" si="41"/>
        <v>0</v>
      </c>
      <c r="AU14" s="62">
        <f t="shared" si="2"/>
        <v>-203037.6468</v>
      </c>
      <c r="AV14" s="62">
        <f t="shared" si="42"/>
        <v>0</v>
      </c>
      <c r="AW14" s="61">
        <f t="shared" si="3"/>
        <v>0</v>
      </c>
      <c r="AX14" s="62">
        <f t="shared" si="43"/>
        <v>0</v>
      </c>
      <c r="AY14" s="62">
        <f t="shared" si="4"/>
        <v>7648160.640000001</v>
      </c>
      <c r="AZ14" s="62">
        <f t="shared" si="44"/>
        <v>7835394.3562</v>
      </c>
      <c r="BA14" s="62">
        <f t="shared" si="45"/>
        <v>7835394.3562</v>
      </c>
      <c r="BB14" s="62">
        <f t="shared" si="5"/>
        <v>3099.44</v>
      </c>
      <c r="BC14" s="66">
        <f t="shared" si="6"/>
        <v>0.9999987191250953</v>
      </c>
      <c r="BD14" s="66">
        <f t="shared" si="46"/>
        <v>0.5</v>
      </c>
      <c r="BE14" s="62">
        <f t="shared" si="7"/>
        <v>7951072.5</v>
      </c>
      <c r="BF14" s="62">
        <f t="shared" si="8"/>
        <v>3145.2</v>
      </c>
      <c r="BG14" s="66">
        <f t="shared" si="47"/>
        <v>0.5037</v>
      </c>
      <c r="BH14" s="62">
        <f t="shared" si="48"/>
        <v>15786466.86</v>
      </c>
      <c r="BI14" s="62">
        <f t="shared" si="9"/>
        <v>6244.65</v>
      </c>
      <c r="BJ14" s="61">
        <v>2915</v>
      </c>
      <c r="BK14" s="7">
        <v>7</v>
      </c>
      <c r="BL14" s="61" t="s">
        <v>9</v>
      </c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</row>
    <row r="15" spans="1:164" s="7" customFormat="1" ht="12.75">
      <c r="A15" s="60">
        <v>8</v>
      </c>
      <c r="B15" s="61" t="s">
        <v>10</v>
      </c>
      <c r="C15" s="61">
        <v>18685</v>
      </c>
      <c r="D15" s="61">
        <v>6998</v>
      </c>
      <c r="E15" s="62">
        <f t="shared" si="10"/>
        <v>3692570</v>
      </c>
      <c r="F15" s="63">
        <f t="shared" si="49"/>
        <v>1190</v>
      </c>
      <c r="G15" s="61">
        <v>5269</v>
      </c>
      <c r="H15" s="62">
        <f t="shared" si="11"/>
        <v>816089</v>
      </c>
      <c r="I15" s="61">
        <f t="shared" si="12"/>
        <v>263</v>
      </c>
      <c r="J15" s="61">
        <v>2154</v>
      </c>
      <c r="K15" s="62">
        <f t="shared" si="13"/>
        <v>10025793</v>
      </c>
      <c r="L15" s="61">
        <f t="shared" si="14"/>
        <v>3231</v>
      </c>
      <c r="M15" s="61">
        <v>487</v>
      </c>
      <c r="N15" s="62">
        <f t="shared" si="15"/>
        <v>906076</v>
      </c>
      <c r="O15" s="61">
        <f t="shared" si="16"/>
        <v>292</v>
      </c>
      <c r="P15" s="61">
        <f t="shared" si="17"/>
        <v>0</v>
      </c>
      <c r="Q15" s="58">
        <f t="shared" si="18"/>
        <v>0</v>
      </c>
      <c r="R15" s="62">
        <f t="shared" si="19"/>
        <v>0</v>
      </c>
      <c r="S15" s="61">
        <f t="shared" si="20"/>
        <v>0</v>
      </c>
      <c r="T15" s="61">
        <f t="shared" si="21"/>
        <v>4976</v>
      </c>
      <c r="U15" s="61">
        <f t="shared" si="22"/>
        <v>23661</v>
      </c>
      <c r="V15" s="62">
        <f t="shared" si="23"/>
        <v>3103</v>
      </c>
      <c r="W15" s="62">
        <f t="shared" si="24"/>
        <v>73420083</v>
      </c>
      <c r="X15" s="65">
        <f>'Tables 6-8 Local Wealth'!M15</f>
        <v>0.88203913</v>
      </c>
      <c r="Y15" s="65">
        <f t="shared" si="25"/>
        <v>0.02409934</v>
      </c>
      <c r="Z15" s="65">
        <f t="shared" si="26"/>
        <v>0.02125656</v>
      </c>
      <c r="AA15" s="62">
        <f t="shared" si="0"/>
        <v>22665781.42737527</v>
      </c>
      <c r="AB15" s="66">
        <f t="shared" si="27"/>
        <v>0.3087</v>
      </c>
      <c r="AC15" s="67">
        <f t="shared" si="28"/>
        <v>50754301.57262473</v>
      </c>
      <c r="AD15" s="66">
        <f t="shared" si="29"/>
        <v>0.6913</v>
      </c>
      <c r="AE15" s="62">
        <f>'Tables 6-8 Local Wealth'!BI15</f>
        <v>35470576</v>
      </c>
      <c r="AF15" s="62">
        <f t="shared" si="30"/>
        <v>12804794.572624732</v>
      </c>
      <c r="AG15" s="70">
        <f t="shared" si="31"/>
        <v>0</v>
      </c>
      <c r="AH15" s="62">
        <f t="shared" si="32"/>
        <v>24228627</v>
      </c>
      <c r="AI15" s="62">
        <f t="shared" si="33"/>
        <v>12804794.572624732</v>
      </c>
      <c r="AJ15" s="67">
        <f t="shared" si="34"/>
        <v>6028196.653824748</v>
      </c>
      <c r="AK15" s="66">
        <f t="shared" si="35"/>
        <v>0.470776522</v>
      </c>
      <c r="AL15" s="62">
        <f t="shared" si="36"/>
        <v>5378072.098070546</v>
      </c>
      <c r="AM15" s="62">
        <f t="shared" si="37"/>
        <v>18832991.22644948</v>
      </c>
      <c r="AN15" s="62">
        <f t="shared" si="38"/>
        <v>56782498.226449475</v>
      </c>
      <c r="AO15" s="62">
        <f t="shared" si="39"/>
        <v>3038.93488</v>
      </c>
      <c r="AP15" s="62">
        <v>55295126.6798</v>
      </c>
      <c r="AQ15" s="57">
        <f>'[1]Table 4 Formula'!$C15</f>
        <v>18676</v>
      </c>
      <c r="AR15" s="62">
        <f t="shared" si="40"/>
        <v>2960.76</v>
      </c>
      <c r="AS15" s="66">
        <f t="shared" si="1"/>
        <v>0.9742755659180168</v>
      </c>
      <c r="AT15" s="163">
        <f t="shared" si="41"/>
        <v>1487371.5466494784</v>
      </c>
      <c r="AU15" s="62">
        <f t="shared" si="2"/>
        <v>1487371.553</v>
      </c>
      <c r="AV15" s="62">
        <f t="shared" si="42"/>
        <v>0</v>
      </c>
      <c r="AW15" s="61">
        <f t="shared" si="3"/>
        <v>0</v>
      </c>
      <c r="AX15" s="62">
        <f t="shared" si="43"/>
        <v>0</v>
      </c>
      <c r="AY15" s="62">
        <f t="shared" si="4"/>
        <v>55295126.6798</v>
      </c>
      <c r="AZ15" s="62">
        <f t="shared" si="44"/>
        <v>56782498.2328</v>
      </c>
      <c r="BA15" s="62">
        <f t="shared" si="45"/>
        <v>56782498.2328</v>
      </c>
      <c r="BB15" s="62">
        <f t="shared" si="5"/>
        <v>3038.93</v>
      </c>
      <c r="BC15" s="66">
        <f t="shared" si="6"/>
        <v>0.9999983941742114</v>
      </c>
      <c r="BD15" s="66">
        <f t="shared" si="46"/>
        <v>0.62</v>
      </c>
      <c r="BE15" s="62">
        <f t="shared" si="7"/>
        <v>35470576</v>
      </c>
      <c r="BF15" s="62">
        <f t="shared" si="8"/>
        <v>1898.34</v>
      </c>
      <c r="BG15" s="66">
        <f t="shared" si="47"/>
        <v>0.3845</v>
      </c>
      <c r="BH15" s="62">
        <f t="shared" si="48"/>
        <v>92253074.23</v>
      </c>
      <c r="BI15" s="62">
        <f t="shared" si="9"/>
        <v>4937.28</v>
      </c>
      <c r="BJ15" s="61">
        <v>18831</v>
      </c>
      <c r="BK15" s="7">
        <v>8</v>
      </c>
      <c r="BL15" s="61" t="s">
        <v>10</v>
      </c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s="7" customFormat="1" ht="12.75">
      <c r="A16" s="60">
        <v>9</v>
      </c>
      <c r="B16" s="61" t="s">
        <v>11</v>
      </c>
      <c r="C16" s="61">
        <v>44259</v>
      </c>
      <c r="D16" s="61">
        <v>23131</v>
      </c>
      <c r="E16" s="62">
        <f t="shared" si="10"/>
        <v>12200996</v>
      </c>
      <c r="F16" s="63">
        <f t="shared" si="49"/>
        <v>3932</v>
      </c>
      <c r="G16" s="61">
        <v>10383</v>
      </c>
      <c r="H16" s="62">
        <f t="shared" si="11"/>
        <v>1610457</v>
      </c>
      <c r="I16" s="61">
        <f t="shared" si="12"/>
        <v>519</v>
      </c>
      <c r="J16" s="61">
        <v>6304</v>
      </c>
      <c r="K16" s="62">
        <f t="shared" si="13"/>
        <v>29341968</v>
      </c>
      <c r="L16" s="61">
        <f t="shared" si="14"/>
        <v>9456</v>
      </c>
      <c r="M16" s="61">
        <v>1461</v>
      </c>
      <c r="N16" s="62">
        <f t="shared" si="15"/>
        <v>2721331</v>
      </c>
      <c r="O16" s="61">
        <f t="shared" si="16"/>
        <v>877</v>
      </c>
      <c r="P16" s="61">
        <f t="shared" si="17"/>
        <v>0</v>
      </c>
      <c r="Q16" s="58">
        <f t="shared" si="18"/>
        <v>0</v>
      </c>
      <c r="R16" s="62">
        <f t="shared" si="19"/>
        <v>0</v>
      </c>
      <c r="S16" s="61">
        <f t="shared" si="20"/>
        <v>0</v>
      </c>
      <c r="T16" s="61">
        <f t="shared" si="21"/>
        <v>14784</v>
      </c>
      <c r="U16" s="61">
        <f t="shared" si="22"/>
        <v>59043</v>
      </c>
      <c r="V16" s="62">
        <f t="shared" si="23"/>
        <v>3103</v>
      </c>
      <c r="W16" s="62">
        <f t="shared" si="24"/>
        <v>183210429</v>
      </c>
      <c r="X16" s="65">
        <f>'Tables 6-8 Local Wealth'!M16</f>
        <v>0.92055815</v>
      </c>
      <c r="Y16" s="65">
        <f t="shared" si="25"/>
        <v>0.06013683</v>
      </c>
      <c r="Z16" s="65">
        <f t="shared" si="26"/>
        <v>0.05535945</v>
      </c>
      <c r="AA16" s="62">
        <f t="shared" si="0"/>
        <v>59029551.0486979</v>
      </c>
      <c r="AB16" s="66">
        <f t="shared" si="27"/>
        <v>0.3222</v>
      </c>
      <c r="AC16" s="67">
        <f t="shared" si="28"/>
        <v>124180877.95130211</v>
      </c>
      <c r="AD16" s="66">
        <f t="shared" si="29"/>
        <v>0.6778</v>
      </c>
      <c r="AE16" s="62">
        <f>'Tables 6-8 Local Wealth'!BI16</f>
        <v>116604990</v>
      </c>
      <c r="AF16" s="62">
        <f t="shared" si="30"/>
        <v>57575438.9513021</v>
      </c>
      <c r="AG16" s="70">
        <f t="shared" si="31"/>
        <v>0</v>
      </c>
      <c r="AH16" s="62">
        <f t="shared" si="32"/>
        <v>60459442</v>
      </c>
      <c r="AI16" s="62">
        <f t="shared" si="33"/>
        <v>57575438.9513021</v>
      </c>
      <c r="AJ16" s="67">
        <f t="shared" si="34"/>
        <v>25774515.211432945</v>
      </c>
      <c r="AK16" s="66">
        <f t="shared" si="35"/>
        <v>0.4476651100000001</v>
      </c>
      <c r="AL16" s="62">
        <f t="shared" si="36"/>
        <v>1291067.5420356803</v>
      </c>
      <c r="AM16" s="62">
        <f t="shared" si="37"/>
        <v>83349954.16273504</v>
      </c>
      <c r="AN16" s="62">
        <f t="shared" si="38"/>
        <v>149955393.16273504</v>
      </c>
      <c r="AO16" s="62">
        <f t="shared" si="39"/>
        <v>3388.13333</v>
      </c>
      <c r="AP16" s="62">
        <v>149734635.0622</v>
      </c>
      <c r="AQ16" s="57">
        <f>'[1]Table 4 Formula'!$C16</f>
        <v>45365</v>
      </c>
      <c r="AR16" s="62">
        <f t="shared" si="40"/>
        <v>3300.66</v>
      </c>
      <c r="AS16" s="66">
        <f t="shared" si="1"/>
        <v>0.9741824416337239</v>
      </c>
      <c r="AT16" s="163">
        <f t="shared" si="41"/>
        <v>220758.10053503513</v>
      </c>
      <c r="AU16" s="62">
        <f t="shared" si="2"/>
        <v>220757.9903</v>
      </c>
      <c r="AV16" s="62">
        <f t="shared" si="42"/>
        <v>0</v>
      </c>
      <c r="AW16" s="61">
        <f t="shared" si="3"/>
        <v>0</v>
      </c>
      <c r="AX16" s="62">
        <f t="shared" si="43"/>
        <v>0</v>
      </c>
      <c r="AY16" s="62">
        <f t="shared" si="4"/>
        <v>146083910.94</v>
      </c>
      <c r="AZ16" s="62">
        <f t="shared" si="44"/>
        <v>149955393.0525</v>
      </c>
      <c r="BA16" s="62">
        <f t="shared" si="45"/>
        <v>149955393.0525</v>
      </c>
      <c r="BB16" s="62">
        <f t="shared" si="5"/>
        <v>3388.13</v>
      </c>
      <c r="BC16" s="66">
        <f t="shared" si="6"/>
        <v>0.9999990171579227</v>
      </c>
      <c r="BD16" s="66">
        <f t="shared" si="46"/>
        <v>0.56</v>
      </c>
      <c r="BE16" s="62">
        <f t="shared" si="7"/>
        <v>116604990</v>
      </c>
      <c r="BF16" s="62">
        <f t="shared" si="8"/>
        <v>2634.61</v>
      </c>
      <c r="BG16" s="66">
        <f t="shared" si="47"/>
        <v>0.4374</v>
      </c>
      <c r="BH16" s="62">
        <f t="shared" si="48"/>
        <v>266560383.05</v>
      </c>
      <c r="BI16" s="62">
        <f t="shared" si="9"/>
        <v>6022.74</v>
      </c>
      <c r="BJ16" s="61">
        <v>47475</v>
      </c>
      <c r="BK16" s="7">
        <v>9</v>
      </c>
      <c r="BL16" s="61" t="s">
        <v>11</v>
      </c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</row>
    <row r="17" spans="1:164" s="92" customFormat="1" ht="12.75">
      <c r="A17" s="83">
        <v>10</v>
      </c>
      <c r="B17" s="84" t="s">
        <v>12</v>
      </c>
      <c r="C17" s="84">
        <v>32099</v>
      </c>
      <c r="D17" s="84">
        <v>14055</v>
      </c>
      <c r="E17" s="85">
        <f t="shared" si="10"/>
        <v>7413067</v>
      </c>
      <c r="F17" s="86">
        <f t="shared" si="49"/>
        <v>2389</v>
      </c>
      <c r="G17" s="84">
        <v>6379</v>
      </c>
      <c r="H17" s="85">
        <f t="shared" si="11"/>
        <v>989857</v>
      </c>
      <c r="I17" s="84">
        <f t="shared" si="12"/>
        <v>319</v>
      </c>
      <c r="J17" s="84">
        <v>4596</v>
      </c>
      <c r="K17" s="85">
        <f t="shared" si="13"/>
        <v>21392082</v>
      </c>
      <c r="L17" s="84">
        <f t="shared" si="14"/>
        <v>6894</v>
      </c>
      <c r="M17" s="84">
        <v>1150</v>
      </c>
      <c r="N17" s="85">
        <f t="shared" si="15"/>
        <v>2141070</v>
      </c>
      <c r="O17" s="84">
        <f t="shared" si="16"/>
        <v>690</v>
      </c>
      <c r="P17" s="84">
        <f t="shared" si="17"/>
        <v>0</v>
      </c>
      <c r="Q17" s="87">
        <f t="shared" si="18"/>
        <v>0</v>
      </c>
      <c r="R17" s="85">
        <f t="shared" si="19"/>
        <v>0</v>
      </c>
      <c r="S17" s="84">
        <f t="shared" si="20"/>
        <v>0</v>
      </c>
      <c r="T17" s="84">
        <f t="shared" si="21"/>
        <v>10292</v>
      </c>
      <c r="U17" s="61">
        <f t="shared" si="22"/>
        <v>42391</v>
      </c>
      <c r="V17" s="85">
        <f t="shared" si="23"/>
        <v>3103</v>
      </c>
      <c r="W17" s="85">
        <f t="shared" si="24"/>
        <v>131539273</v>
      </c>
      <c r="X17" s="89">
        <f>'Tables 6-8 Local Wealth'!M17</f>
        <v>1.19481934</v>
      </c>
      <c r="Y17" s="89">
        <f t="shared" si="25"/>
        <v>0.04317633</v>
      </c>
      <c r="Z17" s="89">
        <f t="shared" si="26"/>
        <v>0.05158791</v>
      </c>
      <c r="AA17" s="85">
        <f t="shared" si="0"/>
        <v>55007973.64931611</v>
      </c>
      <c r="AB17" s="90">
        <f t="shared" si="27"/>
        <v>0.4182</v>
      </c>
      <c r="AC17" s="91">
        <f t="shared" si="28"/>
        <v>76531299.3506839</v>
      </c>
      <c r="AD17" s="90">
        <f t="shared" si="29"/>
        <v>0.5818</v>
      </c>
      <c r="AE17" s="85">
        <f>'Tables 6-8 Local Wealth'!BI17</f>
        <v>86009802.5</v>
      </c>
      <c r="AF17" s="85">
        <f t="shared" si="30"/>
        <v>31001828.85068389</v>
      </c>
      <c r="AG17" s="104">
        <f t="shared" si="31"/>
        <v>0</v>
      </c>
      <c r="AH17" s="85">
        <f t="shared" si="32"/>
        <v>43407960</v>
      </c>
      <c r="AI17" s="85">
        <f t="shared" si="33"/>
        <v>31001828.85068389</v>
      </c>
      <c r="AJ17" s="91">
        <f t="shared" si="34"/>
        <v>8776878.038983641</v>
      </c>
      <c r="AK17" s="90">
        <f t="shared" si="35"/>
        <v>0.28310839600000004</v>
      </c>
      <c r="AL17" s="85">
        <f t="shared" si="36"/>
        <v>3512279.8902485203</v>
      </c>
      <c r="AM17" s="85">
        <f t="shared" si="37"/>
        <v>39778706.88966753</v>
      </c>
      <c r="AN17" s="85">
        <f t="shared" si="38"/>
        <v>85308177.38966754</v>
      </c>
      <c r="AO17" s="85">
        <f t="shared" si="39"/>
        <v>2657.65841</v>
      </c>
      <c r="AP17" s="85">
        <v>80199452.7238</v>
      </c>
      <c r="AQ17" s="100">
        <f>'[1]Table 4 Formula'!$C17</f>
        <v>32446</v>
      </c>
      <c r="AR17" s="85">
        <f t="shared" si="40"/>
        <v>2471.78</v>
      </c>
      <c r="AS17" s="90">
        <f t="shared" si="1"/>
        <v>0.9300593299347301</v>
      </c>
      <c r="AT17" s="164">
        <f t="shared" si="41"/>
        <v>5108724.665867537</v>
      </c>
      <c r="AU17" s="85">
        <f t="shared" si="2"/>
        <v>5108724.5788</v>
      </c>
      <c r="AV17" s="85">
        <f t="shared" si="42"/>
        <v>0</v>
      </c>
      <c r="AW17" s="84">
        <f t="shared" si="3"/>
        <v>0</v>
      </c>
      <c r="AX17" s="85">
        <f t="shared" si="43"/>
        <v>0</v>
      </c>
      <c r="AY17" s="85">
        <f t="shared" si="4"/>
        <v>79341666.22000001</v>
      </c>
      <c r="AZ17" s="85">
        <f t="shared" si="44"/>
        <v>85308177.3026</v>
      </c>
      <c r="BA17" s="85">
        <f t="shared" si="45"/>
        <v>85308177.3026</v>
      </c>
      <c r="BB17" s="85">
        <f t="shared" si="5"/>
        <v>2657.66</v>
      </c>
      <c r="BC17" s="90">
        <f t="shared" si="6"/>
        <v>1.000000598271017</v>
      </c>
      <c r="BD17" s="90">
        <f t="shared" si="46"/>
        <v>0.5</v>
      </c>
      <c r="BE17" s="85">
        <f t="shared" si="7"/>
        <v>86009802.5</v>
      </c>
      <c r="BF17" s="85">
        <f t="shared" si="8"/>
        <v>2679.52</v>
      </c>
      <c r="BG17" s="90">
        <f t="shared" si="47"/>
        <v>0.502</v>
      </c>
      <c r="BH17" s="85">
        <f t="shared" si="48"/>
        <v>171317979.8</v>
      </c>
      <c r="BI17" s="85">
        <f t="shared" si="9"/>
        <v>5337.17</v>
      </c>
      <c r="BJ17" s="84">
        <v>33565</v>
      </c>
      <c r="BK17" s="92">
        <v>10</v>
      </c>
      <c r="BL17" s="84" t="s">
        <v>12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1:164" s="7" customFormat="1" ht="12.75">
      <c r="A18" s="60">
        <v>11</v>
      </c>
      <c r="B18" s="61" t="s">
        <v>13</v>
      </c>
      <c r="C18" s="61">
        <v>1808</v>
      </c>
      <c r="D18" s="61">
        <v>993</v>
      </c>
      <c r="E18" s="62">
        <f t="shared" si="10"/>
        <v>524407</v>
      </c>
      <c r="F18" s="63">
        <f t="shared" si="49"/>
        <v>169</v>
      </c>
      <c r="G18" s="61">
        <v>583</v>
      </c>
      <c r="H18" s="62">
        <f t="shared" si="11"/>
        <v>89987</v>
      </c>
      <c r="I18" s="61">
        <f t="shared" si="12"/>
        <v>29</v>
      </c>
      <c r="J18" s="61">
        <v>215</v>
      </c>
      <c r="K18" s="62">
        <f t="shared" si="13"/>
        <v>1002269</v>
      </c>
      <c r="L18" s="61">
        <f t="shared" si="14"/>
        <v>323</v>
      </c>
      <c r="M18" s="61">
        <v>34</v>
      </c>
      <c r="N18" s="62">
        <f t="shared" si="15"/>
        <v>62060</v>
      </c>
      <c r="O18" s="61">
        <f t="shared" si="16"/>
        <v>20</v>
      </c>
      <c r="P18" s="61">
        <f t="shared" si="17"/>
        <v>5692</v>
      </c>
      <c r="Q18" s="58">
        <f t="shared" si="18"/>
        <v>0.15179</v>
      </c>
      <c r="R18" s="62">
        <f t="shared" si="19"/>
        <v>850222</v>
      </c>
      <c r="S18" s="61">
        <f t="shared" si="20"/>
        <v>274</v>
      </c>
      <c r="T18" s="61">
        <f t="shared" si="21"/>
        <v>815</v>
      </c>
      <c r="U18" s="189">
        <f t="shared" si="22"/>
        <v>2623</v>
      </c>
      <c r="V18" s="62">
        <f t="shared" si="23"/>
        <v>3103</v>
      </c>
      <c r="W18" s="62">
        <f t="shared" si="24"/>
        <v>8139169</v>
      </c>
      <c r="X18" s="65">
        <f>'Tables 6-8 Local Wealth'!M18</f>
        <v>0.49936284</v>
      </c>
      <c r="Y18" s="65">
        <f t="shared" si="25"/>
        <v>0.00267159</v>
      </c>
      <c r="Z18" s="65">
        <f t="shared" si="26"/>
        <v>0.00133409</v>
      </c>
      <c r="AA18" s="62">
        <f t="shared" si="0"/>
        <v>1422534.6125829895</v>
      </c>
      <c r="AB18" s="66">
        <f t="shared" si="27"/>
        <v>0.1748</v>
      </c>
      <c r="AC18" s="67">
        <f t="shared" si="28"/>
        <v>6716634.387417011</v>
      </c>
      <c r="AD18" s="66">
        <f t="shared" si="29"/>
        <v>0.8252</v>
      </c>
      <c r="AE18" s="62">
        <f>'Tables 6-8 Local Wealth'!BI18</f>
        <v>2322839</v>
      </c>
      <c r="AF18" s="62">
        <f t="shared" si="30"/>
        <v>900304.3874170105</v>
      </c>
      <c r="AG18" s="70">
        <f t="shared" si="31"/>
        <v>0</v>
      </c>
      <c r="AH18" s="62">
        <f t="shared" si="32"/>
        <v>2685926</v>
      </c>
      <c r="AI18" s="62">
        <f t="shared" si="33"/>
        <v>900304.3874170105</v>
      </c>
      <c r="AJ18" s="67">
        <f t="shared" si="34"/>
        <v>630557.2539579993</v>
      </c>
      <c r="AK18" s="66">
        <f t="shared" si="35"/>
        <v>0.700382296</v>
      </c>
      <c r="AL18" s="62">
        <f t="shared" si="36"/>
        <v>1250617.764808097</v>
      </c>
      <c r="AM18" s="62">
        <f t="shared" si="37"/>
        <v>1530861.64137501</v>
      </c>
      <c r="AN18" s="62">
        <f t="shared" si="38"/>
        <v>7347191.64137501</v>
      </c>
      <c r="AO18" s="62">
        <f t="shared" si="39"/>
        <v>4063.71219</v>
      </c>
      <c r="AP18" s="62">
        <v>7363603.6789</v>
      </c>
      <c r="AQ18" s="57">
        <f>'[1]Table 4 Formula'!$C18</f>
        <v>1847</v>
      </c>
      <c r="AR18" s="62">
        <f t="shared" si="40"/>
        <v>3986.79</v>
      </c>
      <c r="AS18" s="66">
        <f t="shared" si="1"/>
        <v>0.9810709552243166</v>
      </c>
      <c r="AT18" s="163">
        <f t="shared" si="41"/>
        <v>0</v>
      </c>
      <c r="AU18" s="62">
        <f t="shared" si="2"/>
        <v>-16412.0394</v>
      </c>
      <c r="AV18" s="62">
        <f t="shared" si="42"/>
        <v>0</v>
      </c>
      <c r="AW18" s="61">
        <f t="shared" si="3"/>
        <v>0</v>
      </c>
      <c r="AX18" s="62">
        <f t="shared" si="43"/>
        <v>0</v>
      </c>
      <c r="AY18" s="62">
        <f t="shared" si="4"/>
        <v>7208116.32</v>
      </c>
      <c r="AZ18" s="62">
        <f t="shared" si="44"/>
        <v>7347191.6395</v>
      </c>
      <c r="BA18" s="62">
        <f t="shared" si="45"/>
        <v>7347191.6395</v>
      </c>
      <c r="BB18" s="62">
        <f t="shared" si="5"/>
        <v>4063.71</v>
      </c>
      <c r="BC18" s="66">
        <f t="shared" si="6"/>
        <v>0.9999994610838815</v>
      </c>
      <c r="BD18" s="66">
        <f t="shared" si="46"/>
        <v>0.76</v>
      </c>
      <c r="BE18" s="62">
        <f t="shared" si="7"/>
        <v>2322839</v>
      </c>
      <c r="BF18" s="62">
        <f t="shared" si="8"/>
        <v>1284.76</v>
      </c>
      <c r="BG18" s="66">
        <f t="shared" si="47"/>
        <v>0.2402</v>
      </c>
      <c r="BH18" s="62">
        <f t="shared" si="48"/>
        <v>9670030.64</v>
      </c>
      <c r="BI18" s="62">
        <f t="shared" si="9"/>
        <v>5348.47</v>
      </c>
      <c r="BJ18" s="61">
        <v>1982</v>
      </c>
      <c r="BK18" s="7">
        <v>11</v>
      </c>
      <c r="BL18" s="61" t="s">
        <v>13</v>
      </c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</row>
    <row r="19" spans="1:164" s="7" customFormat="1" ht="12.75">
      <c r="A19" s="60">
        <v>12</v>
      </c>
      <c r="B19" s="61" t="s">
        <v>14</v>
      </c>
      <c r="C19" s="61">
        <v>1959</v>
      </c>
      <c r="D19" s="61">
        <v>740</v>
      </c>
      <c r="E19" s="62">
        <f t="shared" si="10"/>
        <v>390978</v>
      </c>
      <c r="F19" s="63">
        <f t="shared" si="49"/>
        <v>126</v>
      </c>
      <c r="G19" s="61">
        <v>643</v>
      </c>
      <c r="H19" s="62">
        <f t="shared" si="11"/>
        <v>99296</v>
      </c>
      <c r="I19" s="61">
        <f t="shared" si="12"/>
        <v>32</v>
      </c>
      <c r="J19" s="61">
        <v>275</v>
      </c>
      <c r="K19" s="62">
        <f t="shared" si="13"/>
        <v>1281539</v>
      </c>
      <c r="L19" s="61">
        <f t="shared" si="14"/>
        <v>413</v>
      </c>
      <c r="M19" s="61">
        <v>113</v>
      </c>
      <c r="N19" s="62">
        <f t="shared" si="15"/>
        <v>211004</v>
      </c>
      <c r="O19" s="61">
        <f t="shared" si="16"/>
        <v>68</v>
      </c>
      <c r="P19" s="61">
        <f t="shared" si="17"/>
        <v>5541</v>
      </c>
      <c r="Q19" s="58">
        <f t="shared" si="18"/>
        <v>0.14776</v>
      </c>
      <c r="R19" s="62">
        <f t="shared" si="19"/>
        <v>896767</v>
      </c>
      <c r="S19" s="61">
        <f t="shared" si="20"/>
        <v>289</v>
      </c>
      <c r="T19" s="61">
        <f t="shared" si="21"/>
        <v>928</v>
      </c>
      <c r="U19" s="61">
        <f t="shared" si="22"/>
        <v>2887</v>
      </c>
      <c r="V19" s="62">
        <f t="shared" si="23"/>
        <v>3103</v>
      </c>
      <c r="W19" s="62">
        <f t="shared" si="24"/>
        <v>8958361</v>
      </c>
      <c r="X19" s="65">
        <f>'Tables 6-8 Local Wealth'!M19</f>
        <v>1.18433521</v>
      </c>
      <c r="Y19" s="65">
        <f t="shared" si="25"/>
        <v>0.00294048</v>
      </c>
      <c r="Z19" s="65">
        <f t="shared" si="26"/>
        <v>0.00348251</v>
      </c>
      <c r="AA19" s="62">
        <f t="shared" si="0"/>
        <v>3713385.91374374</v>
      </c>
      <c r="AB19" s="66">
        <f t="shared" si="27"/>
        <v>0.4145</v>
      </c>
      <c r="AC19" s="67">
        <f t="shared" si="28"/>
        <v>5244975.08625626</v>
      </c>
      <c r="AD19" s="66">
        <f t="shared" si="29"/>
        <v>0.5855</v>
      </c>
      <c r="AE19" s="62">
        <f>'Tables 6-8 Local Wealth'!BI19</f>
        <v>6199631.5</v>
      </c>
      <c r="AF19" s="62">
        <f t="shared" si="30"/>
        <v>2486245.58625626</v>
      </c>
      <c r="AG19" s="70">
        <f t="shared" si="31"/>
        <v>0</v>
      </c>
      <c r="AH19" s="62">
        <f t="shared" si="32"/>
        <v>2956259</v>
      </c>
      <c r="AI19" s="62">
        <f t="shared" si="33"/>
        <v>2486245.58625626</v>
      </c>
      <c r="AJ19" s="67">
        <f t="shared" si="34"/>
        <v>719516.6731500317</v>
      </c>
      <c r="AK19" s="66">
        <f t="shared" si="35"/>
        <v>0.2893988740000001</v>
      </c>
      <c r="AL19" s="62">
        <f t="shared" si="36"/>
        <v>136021.35270233452</v>
      </c>
      <c r="AM19" s="62">
        <f t="shared" si="37"/>
        <v>3205762.259406292</v>
      </c>
      <c r="AN19" s="62">
        <f t="shared" si="38"/>
        <v>5964491.759406292</v>
      </c>
      <c r="AO19" s="62">
        <f t="shared" si="39"/>
        <v>3044.66144</v>
      </c>
      <c r="AP19" s="62">
        <v>5514273.8428</v>
      </c>
      <c r="AQ19" s="57">
        <f>'[1]Table 4 Formula'!$C19</f>
        <v>1982</v>
      </c>
      <c r="AR19" s="62">
        <f t="shared" si="40"/>
        <v>2782.18</v>
      </c>
      <c r="AS19" s="66">
        <f t="shared" si="1"/>
        <v>0.9137896133371072</v>
      </c>
      <c r="AT19" s="163">
        <f t="shared" si="41"/>
        <v>450217.9166062921</v>
      </c>
      <c r="AU19" s="62">
        <f t="shared" si="2"/>
        <v>450217.9182</v>
      </c>
      <c r="AV19" s="62">
        <f t="shared" si="42"/>
        <v>0</v>
      </c>
      <c r="AW19" s="61">
        <f t="shared" si="3"/>
        <v>0</v>
      </c>
      <c r="AX19" s="62">
        <f t="shared" si="43"/>
        <v>0</v>
      </c>
      <c r="AY19" s="62">
        <f t="shared" si="4"/>
        <v>5450290.62</v>
      </c>
      <c r="AZ19" s="62">
        <f t="shared" si="44"/>
        <v>5964491.761</v>
      </c>
      <c r="BA19" s="62">
        <f t="shared" si="45"/>
        <v>5964491.761</v>
      </c>
      <c r="BB19" s="62">
        <f t="shared" si="5"/>
        <v>3044.66</v>
      </c>
      <c r="BC19" s="66">
        <f t="shared" si="6"/>
        <v>0.9999995270410098</v>
      </c>
      <c r="BD19" s="66">
        <f t="shared" si="46"/>
        <v>0.49</v>
      </c>
      <c r="BE19" s="62">
        <f t="shared" si="7"/>
        <v>6199631.5</v>
      </c>
      <c r="BF19" s="62">
        <f t="shared" si="8"/>
        <v>3164.69</v>
      </c>
      <c r="BG19" s="66">
        <f t="shared" si="47"/>
        <v>0.5097</v>
      </c>
      <c r="BH19" s="62">
        <f t="shared" si="48"/>
        <v>12164123.26</v>
      </c>
      <c r="BI19" s="62">
        <f t="shared" si="9"/>
        <v>6209.35</v>
      </c>
      <c r="BJ19" s="61">
        <v>2160</v>
      </c>
      <c r="BK19" s="7">
        <v>12</v>
      </c>
      <c r="BL19" s="61" t="s">
        <v>14</v>
      </c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1:164" s="7" customFormat="1" ht="12.75">
      <c r="A20" s="60">
        <v>13</v>
      </c>
      <c r="B20" s="61" t="s">
        <v>15</v>
      </c>
      <c r="C20" s="61">
        <v>1887</v>
      </c>
      <c r="D20" s="61">
        <v>1128</v>
      </c>
      <c r="E20" s="62">
        <f t="shared" si="10"/>
        <v>595776</v>
      </c>
      <c r="F20" s="63">
        <f t="shared" si="49"/>
        <v>192</v>
      </c>
      <c r="G20" s="61">
        <v>740</v>
      </c>
      <c r="H20" s="62">
        <f t="shared" si="11"/>
        <v>114811</v>
      </c>
      <c r="I20" s="61">
        <f t="shared" si="12"/>
        <v>37</v>
      </c>
      <c r="J20" s="61">
        <v>186</v>
      </c>
      <c r="K20" s="62">
        <f t="shared" si="13"/>
        <v>865737</v>
      </c>
      <c r="L20" s="61">
        <f t="shared" si="14"/>
        <v>279</v>
      </c>
      <c r="M20" s="61">
        <v>42</v>
      </c>
      <c r="N20" s="62">
        <f t="shared" si="15"/>
        <v>77575</v>
      </c>
      <c r="O20" s="61">
        <f t="shared" si="16"/>
        <v>25</v>
      </c>
      <c r="P20" s="61">
        <f t="shared" si="17"/>
        <v>5613</v>
      </c>
      <c r="Q20" s="58">
        <f t="shared" si="18"/>
        <v>0.14968</v>
      </c>
      <c r="R20" s="62">
        <f t="shared" si="19"/>
        <v>875046</v>
      </c>
      <c r="S20" s="61">
        <f t="shared" si="20"/>
        <v>282</v>
      </c>
      <c r="T20" s="61">
        <f t="shared" si="21"/>
        <v>815</v>
      </c>
      <c r="U20" s="61">
        <f t="shared" si="22"/>
        <v>2702</v>
      </c>
      <c r="V20" s="62">
        <f t="shared" si="23"/>
        <v>3103</v>
      </c>
      <c r="W20" s="62">
        <f t="shared" si="24"/>
        <v>8384306</v>
      </c>
      <c r="X20" s="65">
        <f>'Tables 6-8 Local Wealth'!M20</f>
        <v>0.5428343</v>
      </c>
      <c r="Y20" s="65">
        <f t="shared" si="25"/>
        <v>0.00275206</v>
      </c>
      <c r="Z20" s="65">
        <f t="shared" si="26"/>
        <v>0.00149391</v>
      </c>
      <c r="AA20" s="62">
        <f t="shared" si="0"/>
        <v>1592950.0131804103</v>
      </c>
      <c r="AB20" s="66">
        <f t="shared" si="27"/>
        <v>0.19</v>
      </c>
      <c r="AC20" s="67">
        <f t="shared" si="28"/>
        <v>6791355.9868195895</v>
      </c>
      <c r="AD20" s="66">
        <f t="shared" si="29"/>
        <v>0.81</v>
      </c>
      <c r="AE20" s="62">
        <f>'Tables 6-8 Local Wealth'!BI20</f>
        <v>2651311</v>
      </c>
      <c r="AF20" s="62">
        <f t="shared" si="30"/>
        <v>1058360.9868195897</v>
      </c>
      <c r="AG20" s="70">
        <f t="shared" si="31"/>
        <v>0</v>
      </c>
      <c r="AH20" s="62">
        <f t="shared" si="32"/>
        <v>2766821</v>
      </c>
      <c r="AI20" s="62">
        <f t="shared" si="33"/>
        <v>1058360.9868195897</v>
      </c>
      <c r="AJ20" s="67">
        <f t="shared" si="34"/>
        <v>713652.1995630771</v>
      </c>
      <c r="AK20" s="66">
        <f t="shared" si="35"/>
        <v>0.6742994200000001</v>
      </c>
      <c r="AL20" s="62">
        <f t="shared" si="36"/>
        <v>1152013.5959807434</v>
      </c>
      <c r="AM20" s="62">
        <f t="shared" si="37"/>
        <v>1772013.1863826667</v>
      </c>
      <c r="AN20" s="62">
        <f t="shared" si="38"/>
        <v>7505008.186382666</v>
      </c>
      <c r="AO20" s="62">
        <f t="shared" si="39"/>
        <v>3977.21684</v>
      </c>
      <c r="AP20" s="62">
        <v>7502008.3974</v>
      </c>
      <c r="AQ20" s="57">
        <f>'[1]Table 4 Formula'!$C20</f>
        <v>1951</v>
      </c>
      <c r="AR20" s="62">
        <f t="shared" si="40"/>
        <v>3845.21</v>
      </c>
      <c r="AS20" s="66">
        <f t="shared" si="1"/>
        <v>0.9668092424148541</v>
      </c>
      <c r="AT20" s="163">
        <f t="shared" si="41"/>
        <v>2999.7889826660976</v>
      </c>
      <c r="AU20" s="62">
        <f t="shared" si="2"/>
        <v>2999.7797</v>
      </c>
      <c r="AV20" s="62">
        <f t="shared" si="42"/>
        <v>0</v>
      </c>
      <c r="AW20" s="61">
        <f t="shared" si="3"/>
        <v>0</v>
      </c>
      <c r="AX20" s="62">
        <f t="shared" si="43"/>
        <v>0</v>
      </c>
      <c r="AY20" s="62">
        <f t="shared" si="4"/>
        <v>7255911.2700000005</v>
      </c>
      <c r="AZ20" s="62">
        <f t="shared" si="44"/>
        <v>7505008.1771</v>
      </c>
      <c r="BA20" s="62">
        <f t="shared" si="45"/>
        <v>7505008.1771</v>
      </c>
      <c r="BB20" s="62">
        <f t="shared" si="5"/>
        <v>3977.22</v>
      </c>
      <c r="BC20" s="66">
        <f t="shared" si="6"/>
        <v>1.00000079452545</v>
      </c>
      <c r="BD20" s="66">
        <f t="shared" si="46"/>
        <v>0.74</v>
      </c>
      <c r="BE20" s="62">
        <f t="shared" si="7"/>
        <v>2651311</v>
      </c>
      <c r="BF20" s="62">
        <f t="shared" si="8"/>
        <v>1405.04</v>
      </c>
      <c r="BG20" s="66">
        <f t="shared" si="47"/>
        <v>0.2611</v>
      </c>
      <c r="BH20" s="62">
        <f t="shared" si="48"/>
        <v>10156319.18</v>
      </c>
      <c r="BI20" s="62">
        <f t="shared" si="9"/>
        <v>5382.26</v>
      </c>
      <c r="BJ20" s="61">
        <v>2134</v>
      </c>
      <c r="BK20" s="7">
        <v>13</v>
      </c>
      <c r="BL20" s="61" t="s">
        <v>15</v>
      </c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</row>
    <row r="21" spans="1:164" s="7" customFormat="1" ht="12.75">
      <c r="A21" s="60">
        <v>14</v>
      </c>
      <c r="B21" s="61" t="s">
        <v>16</v>
      </c>
      <c r="C21" s="61">
        <v>2764</v>
      </c>
      <c r="D21" s="61">
        <v>1970</v>
      </c>
      <c r="E21" s="62">
        <f t="shared" si="10"/>
        <v>1039505</v>
      </c>
      <c r="F21" s="63">
        <f t="shared" si="49"/>
        <v>335</v>
      </c>
      <c r="G21" s="61">
        <v>629</v>
      </c>
      <c r="H21" s="62">
        <f t="shared" si="11"/>
        <v>96193</v>
      </c>
      <c r="I21" s="61">
        <f t="shared" si="12"/>
        <v>31</v>
      </c>
      <c r="J21" s="61">
        <v>447</v>
      </c>
      <c r="K21" s="62">
        <f t="shared" si="13"/>
        <v>2082113</v>
      </c>
      <c r="L21" s="61">
        <f t="shared" si="14"/>
        <v>671</v>
      </c>
      <c r="M21" s="61">
        <v>164</v>
      </c>
      <c r="N21" s="62">
        <f t="shared" si="15"/>
        <v>304094</v>
      </c>
      <c r="O21" s="61">
        <f t="shared" si="16"/>
        <v>98</v>
      </c>
      <c r="P21" s="61">
        <f t="shared" si="17"/>
        <v>4736</v>
      </c>
      <c r="Q21" s="58">
        <f t="shared" si="18"/>
        <v>0.12629</v>
      </c>
      <c r="R21" s="62">
        <f t="shared" si="19"/>
        <v>1082947</v>
      </c>
      <c r="S21" s="61">
        <f t="shared" si="20"/>
        <v>349</v>
      </c>
      <c r="T21" s="61">
        <f t="shared" si="21"/>
        <v>1484</v>
      </c>
      <c r="U21" s="61">
        <f t="shared" si="22"/>
        <v>4248</v>
      </c>
      <c r="V21" s="62">
        <f t="shared" si="23"/>
        <v>3103</v>
      </c>
      <c r="W21" s="62">
        <f t="shared" si="24"/>
        <v>13181544</v>
      </c>
      <c r="X21" s="65">
        <f>'Tables 6-8 Local Wealth'!M21</f>
        <v>0.67343984</v>
      </c>
      <c r="Y21" s="65">
        <f t="shared" si="25"/>
        <v>0.0043267</v>
      </c>
      <c r="Z21" s="65">
        <f t="shared" si="26"/>
        <v>0.00291377</v>
      </c>
      <c r="AA21" s="62">
        <f t="shared" si="0"/>
        <v>3106940.8196642934</v>
      </c>
      <c r="AB21" s="66">
        <f t="shared" si="27"/>
        <v>0.2357</v>
      </c>
      <c r="AC21" s="67">
        <f t="shared" si="28"/>
        <v>10074603.180335706</v>
      </c>
      <c r="AD21" s="66">
        <f t="shared" si="29"/>
        <v>0.7643</v>
      </c>
      <c r="AE21" s="62">
        <f>'Tables 6-8 Local Wealth'!BI21</f>
        <v>4427265.5</v>
      </c>
      <c r="AF21" s="62">
        <f t="shared" si="30"/>
        <v>1320324.6803357066</v>
      </c>
      <c r="AG21" s="70">
        <f t="shared" si="31"/>
        <v>0</v>
      </c>
      <c r="AH21" s="62">
        <f t="shared" si="32"/>
        <v>4349910</v>
      </c>
      <c r="AI21" s="62">
        <f t="shared" si="33"/>
        <v>1320324.6803357066</v>
      </c>
      <c r="AJ21" s="67">
        <f t="shared" si="34"/>
        <v>786829.1354517089</v>
      </c>
      <c r="AK21" s="66">
        <f t="shared" si="35"/>
        <v>0.595936096</v>
      </c>
      <c r="AL21" s="62">
        <f t="shared" si="36"/>
        <v>1805439.247899651</v>
      </c>
      <c r="AM21" s="62">
        <f t="shared" si="37"/>
        <v>2107153.8157874155</v>
      </c>
      <c r="AN21" s="62">
        <f t="shared" si="38"/>
        <v>10861432.315787416</v>
      </c>
      <c r="AO21" s="62">
        <f t="shared" si="39"/>
        <v>3929.60648</v>
      </c>
      <c r="AP21" s="62">
        <v>10459821.0363</v>
      </c>
      <c r="AQ21" s="57">
        <f>'[1]Table 4 Formula'!$C21</f>
        <v>2811</v>
      </c>
      <c r="AR21" s="62">
        <f t="shared" si="40"/>
        <v>3721.03</v>
      </c>
      <c r="AS21" s="66">
        <f t="shared" si="1"/>
        <v>0.9469217894815769</v>
      </c>
      <c r="AT21" s="163">
        <f t="shared" si="41"/>
        <v>401611.27948741615</v>
      </c>
      <c r="AU21" s="62">
        <f t="shared" si="2"/>
        <v>401611.2744</v>
      </c>
      <c r="AV21" s="62">
        <f t="shared" si="42"/>
        <v>0</v>
      </c>
      <c r="AW21" s="61">
        <f t="shared" si="3"/>
        <v>0</v>
      </c>
      <c r="AX21" s="62">
        <f t="shared" si="43"/>
        <v>0</v>
      </c>
      <c r="AY21" s="62">
        <f t="shared" si="4"/>
        <v>10284926.92</v>
      </c>
      <c r="AZ21" s="62">
        <f t="shared" si="44"/>
        <v>10861432.3107</v>
      </c>
      <c r="BA21" s="62">
        <f t="shared" si="45"/>
        <v>10861432.3107</v>
      </c>
      <c r="BB21" s="62">
        <f t="shared" si="5"/>
        <v>3929.61</v>
      </c>
      <c r="BC21" s="66">
        <f t="shared" si="6"/>
        <v>1.0000008957639952</v>
      </c>
      <c r="BD21" s="66">
        <f t="shared" si="46"/>
        <v>0.71</v>
      </c>
      <c r="BE21" s="62">
        <f t="shared" si="7"/>
        <v>4427265.5</v>
      </c>
      <c r="BF21" s="62">
        <f t="shared" si="8"/>
        <v>1601.76</v>
      </c>
      <c r="BG21" s="66">
        <f t="shared" si="47"/>
        <v>0.2896</v>
      </c>
      <c r="BH21" s="62">
        <f t="shared" si="48"/>
        <v>15288697.81</v>
      </c>
      <c r="BI21" s="62">
        <f t="shared" si="9"/>
        <v>5531.37</v>
      </c>
      <c r="BJ21" s="61">
        <v>2945</v>
      </c>
      <c r="BK21" s="7">
        <v>14</v>
      </c>
      <c r="BL21" s="61" t="s">
        <v>16</v>
      </c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1:164" s="92" customFormat="1" ht="12.75">
      <c r="A22" s="83">
        <v>15</v>
      </c>
      <c r="B22" s="84" t="s">
        <v>17</v>
      </c>
      <c r="C22" s="84">
        <v>3812</v>
      </c>
      <c r="D22" s="84">
        <v>2711</v>
      </c>
      <c r="E22" s="85">
        <f t="shared" si="10"/>
        <v>1430483</v>
      </c>
      <c r="F22" s="86">
        <f t="shared" si="49"/>
        <v>461</v>
      </c>
      <c r="G22" s="84">
        <v>1069</v>
      </c>
      <c r="H22" s="85">
        <f t="shared" si="11"/>
        <v>164459</v>
      </c>
      <c r="I22" s="84">
        <f t="shared" si="12"/>
        <v>53</v>
      </c>
      <c r="J22" s="84">
        <v>380</v>
      </c>
      <c r="K22" s="85">
        <f t="shared" si="13"/>
        <v>1768710</v>
      </c>
      <c r="L22" s="84">
        <f t="shared" si="14"/>
        <v>570</v>
      </c>
      <c r="M22" s="84">
        <v>55</v>
      </c>
      <c r="N22" s="85">
        <f t="shared" si="15"/>
        <v>102399</v>
      </c>
      <c r="O22" s="84">
        <f t="shared" si="16"/>
        <v>33</v>
      </c>
      <c r="P22" s="84">
        <f t="shared" si="17"/>
        <v>3688</v>
      </c>
      <c r="Q22" s="87">
        <f t="shared" si="18"/>
        <v>0.09835</v>
      </c>
      <c r="R22" s="85">
        <f t="shared" si="19"/>
        <v>1163625</v>
      </c>
      <c r="S22" s="84">
        <f t="shared" si="20"/>
        <v>375</v>
      </c>
      <c r="T22" s="84">
        <f t="shared" si="21"/>
        <v>1492</v>
      </c>
      <c r="U22" s="61">
        <f t="shared" si="22"/>
        <v>5304</v>
      </c>
      <c r="V22" s="85">
        <f t="shared" si="23"/>
        <v>3103</v>
      </c>
      <c r="W22" s="85">
        <f t="shared" si="24"/>
        <v>16458312</v>
      </c>
      <c r="X22" s="89">
        <f>'Tables 6-8 Local Wealth'!M22</f>
        <v>0.64751335</v>
      </c>
      <c r="Y22" s="89">
        <f t="shared" si="25"/>
        <v>0.00540226</v>
      </c>
      <c r="Z22" s="89">
        <f t="shared" si="26"/>
        <v>0.00349804</v>
      </c>
      <c r="AA22" s="85">
        <f t="shared" si="0"/>
        <v>3729945.4880853617</v>
      </c>
      <c r="AB22" s="90">
        <f t="shared" si="27"/>
        <v>0.2266</v>
      </c>
      <c r="AC22" s="91">
        <f t="shared" si="28"/>
        <v>12728366.511914639</v>
      </c>
      <c r="AD22" s="90">
        <f t="shared" si="29"/>
        <v>0.7734</v>
      </c>
      <c r="AE22" s="85">
        <f>'Tables 6-8 Local Wealth'!BI22</f>
        <v>4507805</v>
      </c>
      <c r="AF22" s="85">
        <f t="shared" si="30"/>
        <v>777859.5119146383</v>
      </c>
      <c r="AG22" s="104">
        <f t="shared" si="31"/>
        <v>0</v>
      </c>
      <c r="AH22" s="85">
        <f t="shared" si="32"/>
        <v>5431243</v>
      </c>
      <c r="AI22" s="85">
        <f t="shared" si="33"/>
        <v>777859.5119146383</v>
      </c>
      <c r="AJ22" s="91">
        <f t="shared" si="34"/>
        <v>475654.8608811109</v>
      </c>
      <c r="AK22" s="90">
        <f t="shared" si="35"/>
        <v>0.61149199</v>
      </c>
      <c r="AL22" s="85">
        <f t="shared" si="36"/>
        <v>2845506.729362459</v>
      </c>
      <c r="AM22" s="85">
        <f t="shared" si="37"/>
        <v>1253514.3727957492</v>
      </c>
      <c r="AN22" s="85">
        <f t="shared" si="38"/>
        <v>13204021.37279575</v>
      </c>
      <c r="AO22" s="85">
        <f t="shared" si="39"/>
        <v>3463.80414</v>
      </c>
      <c r="AP22" s="85">
        <v>13864081.6676</v>
      </c>
      <c r="AQ22" s="100">
        <f>'[1]Table 4 Formula'!$C22</f>
        <v>3933</v>
      </c>
      <c r="AR22" s="85">
        <f t="shared" si="40"/>
        <v>3525.07</v>
      </c>
      <c r="AS22" s="90">
        <f t="shared" si="1"/>
        <v>1.0176874492678445</v>
      </c>
      <c r="AT22" s="164">
        <f t="shared" si="41"/>
        <v>0</v>
      </c>
      <c r="AU22" s="85">
        <f t="shared" si="2"/>
        <v>-426514.8276</v>
      </c>
      <c r="AV22" s="85">
        <f t="shared" si="42"/>
        <v>233545.45830000006</v>
      </c>
      <c r="AW22" s="84">
        <f t="shared" si="3"/>
        <v>3812</v>
      </c>
      <c r="AX22" s="85">
        <f t="shared" si="43"/>
        <v>61.26585999475343</v>
      </c>
      <c r="AY22" s="85">
        <f t="shared" si="4"/>
        <v>13437566.84</v>
      </c>
      <c r="AZ22" s="85">
        <f t="shared" si="44"/>
        <v>13204021.3817</v>
      </c>
      <c r="BA22" s="85">
        <f t="shared" si="45"/>
        <v>13437566.84</v>
      </c>
      <c r="BB22" s="85">
        <f t="shared" si="5"/>
        <v>3525.07</v>
      </c>
      <c r="BC22" s="90">
        <f t="shared" si="6"/>
        <v>1.0176874492678445</v>
      </c>
      <c r="BD22" s="90">
        <f t="shared" si="46"/>
        <v>0.76</v>
      </c>
      <c r="BE22" s="85">
        <f t="shared" si="7"/>
        <v>4274259.54</v>
      </c>
      <c r="BF22" s="85">
        <f t="shared" si="8"/>
        <v>1121.26</v>
      </c>
      <c r="BG22" s="90">
        <f t="shared" si="47"/>
        <v>0.2413</v>
      </c>
      <c r="BH22" s="85">
        <f t="shared" si="48"/>
        <v>17711826.38</v>
      </c>
      <c r="BI22" s="85">
        <f t="shared" si="9"/>
        <v>4646.33</v>
      </c>
      <c r="BJ22" s="84">
        <v>4301</v>
      </c>
      <c r="BK22" s="92">
        <v>15</v>
      </c>
      <c r="BL22" s="84" t="s">
        <v>17</v>
      </c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</row>
    <row r="23" spans="1:164" s="7" customFormat="1" ht="12.75">
      <c r="A23" s="60">
        <v>16</v>
      </c>
      <c r="B23" s="61" t="s">
        <v>18</v>
      </c>
      <c r="C23" s="61">
        <v>4992</v>
      </c>
      <c r="D23" s="61">
        <v>3210</v>
      </c>
      <c r="E23" s="62">
        <f t="shared" si="10"/>
        <v>1694238</v>
      </c>
      <c r="F23" s="63">
        <f t="shared" si="49"/>
        <v>546</v>
      </c>
      <c r="G23" s="61">
        <v>2207</v>
      </c>
      <c r="H23" s="62">
        <f t="shared" si="11"/>
        <v>341330</v>
      </c>
      <c r="I23" s="61">
        <f t="shared" si="12"/>
        <v>110</v>
      </c>
      <c r="J23" s="61">
        <v>710</v>
      </c>
      <c r="K23" s="62">
        <f t="shared" si="13"/>
        <v>3304695</v>
      </c>
      <c r="L23" s="61">
        <f t="shared" si="14"/>
        <v>1065</v>
      </c>
      <c r="M23" s="61">
        <v>91</v>
      </c>
      <c r="N23" s="62">
        <f t="shared" si="15"/>
        <v>170665</v>
      </c>
      <c r="O23" s="61">
        <f t="shared" si="16"/>
        <v>55</v>
      </c>
      <c r="P23" s="61">
        <f t="shared" si="17"/>
        <v>2508</v>
      </c>
      <c r="Q23" s="58">
        <f t="shared" si="18"/>
        <v>0.06688</v>
      </c>
      <c r="R23" s="62">
        <f t="shared" si="19"/>
        <v>1036402</v>
      </c>
      <c r="S23" s="61">
        <f t="shared" si="20"/>
        <v>334</v>
      </c>
      <c r="T23" s="61">
        <f t="shared" si="21"/>
        <v>2110</v>
      </c>
      <c r="U23" s="189">
        <f t="shared" si="22"/>
        <v>7102</v>
      </c>
      <c r="V23" s="62">
        <f t="shared" si="23"/>
        <v>3103</v>
      </c>
      <c r="W23" s="62">
        <f t="shared" si="24"/>
        <v>22037506</v>
      </c>
      <c r="X23" s="65">
        <f>'Tables 6-8 Local Wealth'!M23</f>
        <v>0.98314431</v>
      </c>
      <c r="Y23" s="65">
        <f t="shared" si="25"/>
        <v>0.00723357</v>
      </c>
      <c r="Z23" s="65">
        <f t="shared" si="26"/>
        <v>0.00711164</v>
      </c>
      <c r="AA23" s="62">
        <f t="shared" si="0"/>
        <v>7583112.123042441</v>
      </c>
      <c r="AB23" s="66">
        <f t="shared" si="27"/>
        <v>0.3441</v>
      </c>
      <c r="AC23" s="67">
        <f t="shared" si="28"/>
        <v>14454393.876957558</v>
      </c>
      <c r="AD23" s="66">
        <f t="shared" si="29"/>
        <v>0.6559</v>
      </c>
      <c r="AE23" s="62">
        <f>'Tables 6-8 Local Wealth'!BI23</f>
        <v>15213367</v>
      </c>
      <c r="AF23" s="62">
        <f t="shared" si="30"/>
        <v>7630254.876957559</v>
      </c>
      <c r="AG23" s="70">
        <f t="shared" si="31"/>
        <v>0</v>
      </c>
      <c r="AH23" s="62">
        <f t="shared" si="32"/>
        <v>7272377</v>
      </c>
      <c r="AI23" s="62">
        <f t="shared" si="33"/>
        <v>7272377</v>
      </c>
      <c r="AJ23" s="67">
        <f t="shared" si="34"/>
        <v>2982499.359365078</v>
      </c>
      <c r="AK23" s="66">
        <f t="shared" si="35"/>
        <v>0.410113414</v>
      </c>
      <c r="AL23" s="62">
        <f t="shared" si="36"/>
        <v>0</v>
      </c>
      <c r="AM23" s="62">
        <f t="shared" si="37"/>
        <v>10254876.359365078</v>
      </c>
      <c r="AN23" s="62">
        <f t="shared" si="38"/>
        <v>17436893.236322638</v>
      </c>
      <c r="AO23" s="62">
        <f t="shared" si="39"/>
        <v>3492.9674</v>
      </c>
      <c r="AP23" s="62">
        <v>16209444.0407</v>
      </c>
      <c r="AQ23" s="57">
        <f>'[1]Table 4 Formula'!$C23</f>
        <v>5093</v>
      </c>
      <c r="AR23" s="62">
        <f t="shared" si="40"/>
        <v>3182.69</v>
      </c>
      <c r="AS23" s="66">
        <f t="shared" si="1"/>
        <v>0.9111708285625569</v>
      </c>
      <c r="AT23" s="163">
        <f t="shared" si="41"/>
        <v>1227449.1956226379</v>
      </c>
      <c r="AU23" s="62">
        <f t="shared" si="2"/>
        <v>1227449.2201</v>
      </c>
      <c r="AV23" s="62">
        <f t="shared" si="42"/>
        <v>0</v>
      </c>
      <c r="AW23" s="61">
        <f t="shared" si="3"/>
        <v>0</v>
      </c>
      <c r="AX23" s="62">
        <f t="shared" si="43"/>
        <v>0</v>
      </c>
      <c r="AY23" s="62">
        <f t="shared" si="4"/>
        <v>15887988.48</v>
      </c>
      <c r="AZ23" s="62">
        <f t="shared" si="44"/>
        <v>17436893.2608</v>
      </c>
      <c r="BA23" s="62">
        <f t="shared" si="45"/>
        <v>17436893.2608</v>
      </c>
      <c r="BB23" s="62">
        <f t="shared" si="5"/>
        <v>3492.97</v>
      </c>
      <c r="BC23" s="66">
        <f t="shared" si="6"/>
        <v>1.0000007443527814</v>
      </c>
      <c r="BD23" s="66">
        <f t="shared" si="46"/>
        <v>0.54</v>
      </c>
      <c r="BE23" s="62">
        <f t="shared" si="7"/>
        <v>14855489.12</v>
      </c>
      <c r="BF23" s="62">
        <f t="shared" si="8"/>
        <v>2975.86</v>
      </c>
      <c r="BG23" s="66">
        <f t="shared" si="47"/>
        <v>0.46</v>
      </c>
      <c r="BH23" s="62">
        <f t="shared" si="48"/>
        <v>32292382.38</v>
      </c>
      <c r="BI23" s="62">
        <f t="shared" si="9"/>
        <v>6468.83</v>
      </c>
      <c r="BJ23" s="61">
        <v>5249</v>
      </c>
      <c r="BK23" s="7">
        <v>16</v>
      </c>
      <c r="BL23" s="61" t="s">
        <v>18</v>
      </c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1:164" s="7" customFormat="1" ht="12.75">
      <c r="A24" s="60">
        <v>17</v>
      </c>
      <c r="B24" s="61" t="s">
        <v>19</v>
      </c>
      <c r="C24" s="61">
        <v>53188</v>
      </c>
      <c r="D24" s="61">
        <v>33946</v>
      </c>
      <c r="E24" s="62">
        <f t="shared" si="10"/>
        <v>17907413</v>
      </c>
      <c r="F24" s="63">
        <f t="shared" si="49"/>
        <v>5771</v>
      </c>
      <c r="G24" s="61">
        <v>12511</v>
      </c>
      <c r="H24" s="62">
        <f t="shared" si="11"/>
        <v>1942478</v>
      </c>
      <c r="I24" s="61">
        <f t="shared" si="12"/>
        <v>626</v>
      </c>
      <c r="J24" s="61">
        <v>5951</v>
      </c>
      <c r="K24" s="62">
        <f t="shared" si="13"/>
        <v>27700481</v>
      </c>
      <c r="L24" s="61">
        <f t="shared" si="14"/>
        <v>8927</v>
      </c>
      <c r="M24" s="61">
        <v>1351</v>
      </c>
      <c r="N24" s="62">
        <f t="shared" si="15"/>
        <v>2516533</v>
      </c>
      <c r="O24" s="61">
        <f t="shared" si="16"/>
        <v>811</v>
      </c>
      <c r="P24" s="61">
        <f t="shared" si="17"/>
        <v>0</v>
      </c>
      <c r="Q24" s="58">
        <f t="shared" si="18"/>
        <v>0</v>
      </c>
      <c r="R24" s="62">
        <f t="shared" si="19"/>
        <v>0</v>
      </c>
      <c r="S24" s="61">
        <f t="shared" si="20"/>
        <v>0</v>
      </c>
      <c r="T24" s="61">
        <f t="shared" si="21"/>
        <v>16135</v>
      </c>
      <c r="U24" s="61">
        <f t="shared" si="22"/>
        <v>69323</v>
      </c>
      <c r="V24" s="62">
        <f t="shared" si="23"/>
        <v>3103</v>
      </c>
      <c r="W24" s="62">
        <f t="shared" si="24"/>
        <v>215109269</v>
      </c>
      <c r="X24" s="65">
        <f>'Tables 6-8 Local Wealth'!M24</f>
        <v>1.52768735</v>
      </c>
      <c r="Y24" s="65">
        <f t="shared" si="25"/>
        <v>0.07060728</v>
      </c>
      <c r="Z24" s="65">
        <f t="shared" si="26"/>
        <v>0.10786585</v>
      </c>
      <c r="AA24" s="62">
        <f t="shared" si="0"/>
        <v>115016906.7609268</v>
      </c>
      <c r="AB24" s="66">
        <f t="shared" si="27"/>
        <v>0.5347</v>
      </c>
      <c r="AC24" s="67">
        <f t="shared" si="28"/>
        <v>100092362.2390732</v>
      </c>
      <c r="AD24" s="66">
        <f t="shared" si="29"/>
        <v>0.4653</v>
      </c>
      <c r="AE24" s="62">
        <f>'Tables 6-8 Local Wealth'!BI24</f>
        <v>194412342.5</v>
      </c>
      <c r="AF24" s="62">
        <f t="shared" si="30"/>
        <v>79395435.7390732</v>
      </c>
      <c r="AG24" s="70">
        <f t="shared" si="31"/>
        <v>0</v>
      </c>
      <c r="AH24" s="62">
        <f t="shared" si="32"/>
        <v>70986059</v>
      </c>
      <c r="AI24" s="62">
        <f t="shared" si="33"/>
        <v>70986059</v>
      </c>
      <c r="AJ24" s="67">
        <f t="shared" si="34"/>
        <v>5919356.383607807</v>
      </c>
      <c r="AK24" s="66">
        <f t="shared" si="35"/>
        <v>0.08338758999999996</v>
      </c>
      <c r="AL24" s="62">
        <f t="shared" si="36"/>
        <v>0</v>
      </c>
      <c r="AM24" s="62">
        <f t="shared" si="37"/>
        <v>76905415.3836078</v>
      </c>
      <c r="AN24" s="62">
        <f t="shared" si="38"/>
        <v>106011718.622681</v>
      </c>
      <c r="AO24" s="62">
        <f t="shared" si="39"/>
        <v>1993.15106</v>
      </c>
      <c r="AP24" s="62">
        <v>140002066.04999998</v>
      </c>
      <c r="AQ24" s="57">
        <f>'[1]Table 4 Formula'!$C24</f>
        <v>54519</v>
      </c>
      <c r="AR24" s="62">
        <f t="shared" si="40"/>
        <v>2567.95</v>
      </c>
      <c r="AS24" s="66">
        <f t="shared" si="1"/>
        <v>1.2883870427763764</v>
      </c>
      <c r="AT24" s="163">
        <f t="shared" si="41"/>
        <v>0</v>
      </c>
      <c r="AU24" s="62">
        <f t="shared" si="2"/>
        <v>-3417941.45</v>
      </c>
      <c r="AV24" s="62">
        <f t="shared" si="42"/>
        <v>30572406.020699993</v>
      </c>
      <c r="AW24" s="61">
        <f t="shared" si="3"/>
        <v>53188</v>
      </c>
      <c r="AX24" s="62">
        <f t="shared" si="43"/>
        <v>574.7989399996238</v>
      </c>
      <c r="AY24" s="62">
        <f t="shared" si="4"/>
        <v>136584124.6</v>
      </c>
      <c r="AZ24" s="62">
        <f t="shared" si="44"/>
        <v>106011718.5793</v>
      </c>
      <c r="BA24" s="62">
        <f t="shared" si="45"/>
        <v>136584124.6</v>
      </c>
      <c r="BB24" s="62">
        <f t="shared" si="5"/>
        <v>2567.95</v>
      </c>
      <c r="BC24" s="66">
        <f t="shared" si="6"/>
        <v>1.2883870427763764</v>
      </c>
      <c r="BD24" s="66">
        <f t="shared" si="46"/>
        <v>0.47</v>
      </c>
      <c r="BE24" s="62">
        <f t="shared" si="7"/>
        <v>155430559.74</v>
      </c>
      <c r="BF24" s="62">
        <f t="shared" si="8"/>
        <v>2922.29</v>
      </c>
      <c r="BG24" s="66">
        <f t="shared" si="47"/>
        <v>0.5323</v>
      </c>
      <c r="BH24" s="62">
        <f t="shared" si="48"/>
        <v>292014684.34</v>
      </c>
      <c r="BI24" s="62">
        <f t="shared" si="9"/>
        <v>5490.24</v>
      </c>
      <c r="BJ24" s="61">
        <v>56126</v>
      </c>
      <c r="BK24" s="7">
        <v>17</v>
      </c>
      <c r="BL24" s="61" t="s">
        <v>19</v>
      </c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</row>
    <row r="25" spans="1:164" s="7" customFormat="1" ht="12.75">
      <c r="A25" s="60">
        <v>18</v>
      </c>
      <c r="B25" s="61" t="s">
        <v>20</v>
      </c>
      <c r="C25" s="61">
        <v>1807</v>
      </c>
      <c r="D25" s="61">
        <v>1647</v>
      </c>
      <c r="E25" s="62">
        <f t="shared" si="10"/>
        <v>868840</v>
      </c>
      <c r="F25" s="63">
        <f t="shared" si="49"/>
        <v>280</v>
      </c>
      <c r="G25" s="61">
        <v>537</v>
      </c>
      <c r="H25" s="62">
        <f t="shared" si="11"/>
        <v>83781</v>
      </c>
      <c r="I25" s="61">
        <f t="shared" si="12"/>
        <v>27</v>
      </c>
      <c r="J25" s="61">
        <v>191</v>
      </c>
      <c r="K25" s="62">
        <f t="shared" si="13"/>
        <v>890561</v>
      </c>
      <c r="L25" s="61">
        <f t="shared" si="14"/>
        <v>287</v>
      </c>
      <c r="M25" s="61">
        <v>3</v>
      </c>
      <c r="N25" s="62">
        <f t="shared" si="15"/>
        <v>6206</v>
      </c>
      <c r="O25" s="61">
        <f t="shared" si="16"/>
        <v>2</v>
      </c>
      <c r="P25" s="61">
        <f t="shared" si="17"/>
        <v>5693</v>
      </c>
      <c r="Q25" s="58">
        <f t="shared" si="18"/>
        <v>0.15181</v>
      </c>
      <c r="R25" s="62">
        <f t="shared" si="19"/>
        <v>850222</v>
      </c>
      <c r="S25" s="61">
        <f t="shared" si="20"/>
        <v>274</v>
      </c>
      <c r="T25" s="61">
        <f t="shared" si="21"/>
        <v>870</v>
      </c>
      <c r="U25" s="61">
        <f t="shared" si="22"/>
        <v>2677</v>
      </c>
      <c r="V25" s="62">
        <f t="shared" si="23"/>
        <v>3103</v>
      </c>
      <c r="W25" s="62">
        <f t="shared" si="24"/>
        <v>8306731</v>
      </c>
      <c r="X25" s="65">
        <f>'Tables 6-8 Local Wealth'!M25</f>
        <v>0.4553469</v>
      </c>
      <c r="Y25" s="65">
        <f t="shared" si="25"/>
        <v>0.00272659</v>
      </c>
      <c r="Z25" s="65">
        <f t="shared" si="26"/>
        <v>0.00124154</v>
      </c>
      <c r="AA25" s="62">
        <f t="shared" si="0"/>
        <v>1323848.9329102868</v>
      </c>
      <c r="AB25" s="66">
        <f t="shared" si="27"/>
        <v>0.1594</v>
      </c>
      <c r="AC25" s="67">
        <f t="shared" si="28"/>
        <v>6982882.067089713</v>
      </c>
      <c r="AD25" s="66">
        <f t="shared" si="29"/>
        <v>0.8406</v>
      </c>
      <c r="AE25" s="62">
        <f>'Tables 6-8 Local Wealth'!BI25</f>
        <v>1846996.5</v>
      </c>
      <c r="AF25" s="62">
        <f t="shared" si="30"/>
        <v>523147.5670897132</v>
      </c>
      <c r="AG25" s="70">
        <f t="shared" si="31"/>
        <v>0</v>
      </c>
      <c r="AH25" s="62">
        <f t="shared" si="32"/>
        <v>2741221</v>
      </c>
      <c r="AI25" s="62">
        <f t="shared" si="33"/>
        <v>523147.5670897132</v>
      </c>
      <c r="AJ25" s="67">
        <f t="shared" si="34"/>
        <v>380219.39333960746</v>
      </c>
      <c r="AK25" s="66">
        <f t="shared" si="35"/>
        <v>0.7267918600000001</v>
      </c>
      <c r="AL25" s="62">
        <f t="shared" si="36"/>
        <v>1612077.7159214527</v>
      </c>
      <c r="AM25" s="62">
        <f t="shared" si="37"/>
        <v>903366.9604293206</v>
      </c>
      <c r="AN25" s="62">
        <f t="shared" si="38"/>
        <v>7363101.460429321</v>
      </c>
      <c r="AO25" s="62">
        <f t="shared" si="39"/>
        <v>4074.76561</v>
      </c>
      <c r="AP25" s="62">
        <v>7181996.0194</v>
      </c>
      <c r="AQ25" s="57">
        <f>'[1]Table 4 Formula'!$C25</f>
        <v>1910</v>
      </c>
      <c r="AR25" s="62">
        <f t="shared" si="40"/>
        <v>3760.21</v>
      </c>
      <c r="AS25" s="66">
        <f t="shared" si="1"/>
        <v>0.9228039990256028</v>
      </c>
      <c r="AT25" s="163">
        <f t="shared" si="41"/>
        <v>181105.4410293214</v>
      </c>
      <c r="AU25" s="62">
        <f t="shared" si="2"/>
        <v>181105.4379</v>
      </c>
      <c r="AV25" s="62">
        <f t="shared" si="42"/>
        <v>0</v>
      </c>
      <c r="AW25" s="61">
        <f t="shared" si="3"/>
        <v>0</v>
      </c>
      <c r="AX25" s="62">
        <f t="shared" si="43"/>
        <v>0</v>
      </c>
      <c r="AY25" s="62">
        <f t="shared" si="4"/>
        <v>6794699.47</v>
      </c>
      <c r="AZ25" s="62">
        <f t="shared" si="44"/>
        <v>7363101.4573</v>
      </c>
      <c r="BA25" s="62">
        <f t="shared" si="45"/>
        <v>7363101.4573</v>
      </c>
      <c r="BB25" s="62">
        <f t="shared" si="5"/>
        <v>4074.77</v>
      </c>
      <c r="BC25" s="66">
        <f t="shared" si="6"/>
        <v>1.0000010773625823</v>
      </c>
      <c r="BD25" s="66">
        <f t="shared" si="46"/>
        <v>0.8</v>
      </c>
      <c r="BE25" s="62">
        <f t="shared" si="7"/>
        <v>1846996.5</v>
      </c>
      <c r="BF25" s="62">
        <f t="shared" si="8"/>
        <v>1022.13</v>
      </c>
      <c r="BG25" s="66">
        <f t="shared" si="47"/>
        <v>0.2005</v>
      </c>
      <c r="BH25" s="62">
        <f t="shared" si="48"/>
        <v>9210097.96</v>
      </c>
      <c r="BI25" s="62">
        <f t="shared" si="9"/>
        <v>5096.9</v>
      </c>
      <c r="BJ25" s="61">
        <v>1962</v>
      </c>
      <c r="BK25" s="7">
        <v>18</v>
      </c>
      <c r="BL25" s="61" t="s">
        <v>20</v>
      </c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1:164" s="7" customFormat="1" ht="12.75">
      <c r="A26" s="60">
        <v>19</v>
      </c>
      <c r="B26" s="61" t="s">
        <v>21</v>
      </c>
      <c r="C26" s="61">
        <v>2528</v>
      </c>
      <c r="D26" s="61">
        <v>2171</v>
      </c>
      <c r="E26" s="62">
        <f t="shared" si="10"/>
        <v>1145007</v>
      </c>
      <c r="F26" s="63">
        <f t="shared" si="49"/>
        <v>369</v>
      </c>
      <c r="G26" s="61">
        <v>707</v>
      </c>
      <c r="H26" s="62">
        <f t="shared" si="11"/>
        <v>108605</v>
      </c>
      <c r="I26" s="61">
        <f t="shared" si="12"/>
        <v>35</v>
      </c>
      <c r="J26" s="61">
        <v>313</v>
      </c>
      <c r="K26" s="62">
        <f t="shared" si="13"/>
        <v>1458410</v>
      </c>
      <c r="L26" s="61">
        <f t="shared" si="14"/>
        <v>470</v>
      </c>
      <c r="M26" s="61">
        <v>11</v>
      </c>
      <c r="N26" s="62">
        <f t="shared" si="15"/>
        <v>21721</v>
      </c>
      <c r="O26" s="61">
        <f t="shared" si="16"/>
        <v>7</v>
      </c>
      <c r="P26" s="61">
        <f t="shared" si="17"/>
        <v>4972</v>
      </c>
      <c r="Q26" s="58">
        <f t="shared" si="18"/>
        <v>0.13259</v>
      </c>
      <c r="R26" s="62">
        <f t="shared" si="19"/>
        <v>1039505</v>
      </c>
      <c r="S26" s="61">
        <f t="shared" si="20"/>
        <v>335</v>
      </c>
      <c r="T26" s="61">
        <f t="shared" si="21"/>
        <v>1216</v>
      </c>
      <c r="U26" s="61">
        <f t="shared" si="22"/>
        <v>3744</v>
      </c>
      <c r="V26" s="62">
        <f t="shared" si="23"/>
        <v>3103</v>
      </c>
      <c r="W26" s="62">
        <f t="shared" si="24"/>
        <v>11617632</v>
      </c>
      <c r="X26" s="65">
        <f>'Tables 6-8 Local Wealth'!M26</f>
        <v>0.61448547</v>
      </c>
      <c r="Y26" s="65">
        <f t="shared" si="25"/>
        <v>0.00381336</v>
      </c>
      <c r="Z26" s="65">
        <f t="shared" si="26"/>
        <v>0.00234325</v>
      </c>
      <c r="AA26" s="62">
        <f t="shared" si="0"/>
        <v>2498597.718995787</v>
      </c>
      <c r="AB26" s="66">
        <f t="shared" si="27"/>
        <v>0.2151</v>
      </c>
      <c r="AC26" s="67">
        <f t="shared" si="28"/>
        <v>9119034.281004213</v>
      </c>
      <c r="AD26" s="66">
        <f t="shared" si="29"/>
        <v>0.7849</v>
      </c>
      <c r="AE26" s="62">
        <f>'Tables 6-8 Local Wealth'!BI26</f>
        <v>4021251</v>
      </c>
      <c r="AF26" s="62">
        <f t="shared" si="30"/>
        <v>1522653.2810042128</v>
      </c>
      <c r="AG26" s="70">
        <f t="shared" si="31"/>
        <v>0</v>
      </c>
      <c r="AH26" s="62">
        <f t="shared" si="32"/>
        <v>3833819</v>
      </c>
      <c r="AI26" s="62">
        <f t="shared" si="33"/>
        <v>1522653.2810042128</v>
      </c>
      <c r="AJ26" s="67">
        <f t="shared" si="34"/>
        <v>961264.2907892634</v>
      </c>
      <c r="AK26" s="66">
        <f t="shared" si="35"/>
        <v>0.6313087180000001</v>
      </c>
      <c r="AL26" s="62">
        <f t="shared" si="36"/>
        <v>1459059.067144779</v>
      </c>
      <c r="AM26" s="62">
        <f t="shared" si="37"/>
        <v>2483917.571793476</v>
      </c>
      <c r="AN26" s="62">
        <f t="shared" si="38"/>
        <v>10080298.571793476</v>
      </c>
      <c r="AO26" s="62">
        <f t="shared" si="39"/>
        <v>3987.45988</v>
      </c>
      <c r="AP26" s="62">
        <v>10303003.669</v>
      </c>
      <c r="AQ26" s="57">
        <f>'[1]Table 4 Formula'!$C26</f>
        <v>2660</v>
      </c>
      <c r="AR26" s="62">
        <f t="shared" si="40"/>
        <v>3873.31</v>
      </c>
      <c r="AS26" s="66">
        <f t="shared" si="1"/>
        <v>0.9713727828153095</v>
      </c>
      <c r="AT26" s="163">
        <f t="shared" si="41"/>
        <v>0</v>
      </c>
      <c r="AU26" s="62">
        <f t="shared" si="2"/>
        <v>-222705.0924</v>
      </c>
      <c r="AV26" s="62">
        <f t="shared" si="42"/>
        <v>0</v>
      </c>
      <c r="AW26" s="61">
        <f t="shared" si="3"/>
        <v>0</v>
      </c>
      <c r="AX26" s="62">
        <f t="shared" si="43"/>
        <v>0</v>
      </c>
      <c r="AY26" s="62">
        <f t="shared" si="4"/>
        <v>9791727.68</v>
      </c>
      <c r="AZ26" s="62">
        <f t="shared" si="44"/>
        <v>10080298.5766</v>
      </c>
      <c r="BA26" s="62">
        <f t="shared" si="45"/>
        <v>10080298.5766</v>
      </c>
      <c r="BB26" s="62">
        <f t="shared" si="5"/>
        <v>3987.46</v>
      </c>
      <c r="BC26" s="66">
        <f t="shared" si="6"/>
        <v>1.0000000300943468</v>
      </c>
      <c r="BD26" s="66">
        <f t="shared" si="46"/>
        <v>0.71</v>
      </c>
      <c r="BE26" s="62">
        <f t="shared" si="7"/>
        <v>4021251</v>
      </c>
      <c r="BF26" s="62">
        <f t="shared" si="8"/>
        <v>1590.68</v>
      </c>
      <c r="BG26" s="66">
        <f t="shared" si="47"/>
        <v>0.2852</v>
      </c>
      <c r="BH26" s="62">
        <f t="shared" si="48"/>
        <v>14101549.58</v>
      </c>
      <c r="BI26" s="62">
        <f t="shared" si="9"/>
        <v>5578.14</v>
      </c>
      <c r="BJ26" s="61">
        <v>2803</v>
      </c>
      <c r="BK26" s="7">
        <v>19</v>
      </c>
      <c r="BL26" s="61" t="s">
        <v>21</v>
      </c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</row>
    <row r="27" spans="1:164" s="92" customFormat="1" ht="12.75">
      <c r="A27" s="83">
        <v>20</v>
      </c>
      <c r="B27" s="84" t="s">
        <v>22</v>
      </c>
      <c r="C27" s="84">
        <v>6264</v>
      </c>
      <c r="D27" s="84">
        <v>4698</v>
      </c>
      <c r="E27" s="85">
        <f t="shared" si="10"/>
        <v>2479297</v>
      </c>
      <c r="F27" s="86">
        <f t="shared" si="49"/>
        <v>799</v>
      </c>
      <c r="G27" s="84">
        <v>2183</v>
      </c>
      <c r="H27" s="85">
        <f t="shared" si="11"/>
        <v>338227</v>
      </c>
      <c r="I27" s="84">
        <f t="shared" si="12"/>
        <v>109</v>
      </c>
      <c r="J27" s="84">
        <v>978</v>
      </c>
      <c r="K27" s="85">
        <f t="shared" si="13"/>
        <v>4552101</v>
      </c>
      <c r="L27" s="84">
        <f t="shared" si="14"/>
        <v>1467</v>
      </c>
      <c r="M27" s="84">
        <v>54</v>
      </c>
      <c r="N27" s="85">
        <f t="shared" si="15"/>
        <v>99296</v>
      </c>
      <c r="O27" s="84">
        <f t="shared" si="16"/>
        <v>32</v>
      </c>
      <c r="P27" s="84">
        <f t="shared" si="17"/>
        <v>1236</v>
      </c>
      <c r="Q27" s="87">
        <f t="shared" si="18"/>
        <v>0.03296</v>
      </c>
      <c r="R27" s="85">
        <f t="shared" si="19"/>
        <v>639218</v>
      </c>
      <c r="S27" s="84">
        <f t="shared" si="20"/>
        <v>206</v>
      </c>
      <c r="T27" s="84">
        <f t="shared" si="21"/>
        <v>2613</v>
      </c>
      <c r="U27" s="61">
        <f t="shared" si="22"/>
        <v>8877</v>
      </c>
      <c r="V27" s="85">
        <f t="shared" si="23"/>
        <v>3103</v>
      </c>
      <c r="W27" s="85">
        <f t="shared" si="24"/>
        <v>27545331</v>
      </c>
      <c r="X27" s="89">
        <f>'Tables 6-8 Local Wealth'!M27</f>
        <v>0.66453702</v>
      </c>
      <c r="Y27" s="89">
        <f t="shared" si="25"/>
        <v>0.00904146</v>
      </c>
      <c r="Z27" s="89">
        <f t="shared" si="26"/>
        <v>0.00600838</v>
      </c>
      <c r="AA27" s="85">
        <f t="shared" si="0"/>
        <v>6406710.578410287</v>
      </c>
      <c r="AB27" s="90">
        <f t="shared" si="27"/>
        <v>0.2326</v>
      </c>
      <c r="AC27" s="91">
        <f t="shared" si="28"/>
        <v>21138620.421589714</v>
      </c>
      <c r="AD27" s="90">
        <f t="shared" si="29"/>
        <v>0.7674</v>
      </c>
      <c r="AE27" s="85">
        <f>'Tables 6-8 Local Wealth'!BI27</f>
        <v>6658169</v>
      </c>
      <c r="AF27" s="85">
        <f t="shared" si="30"/>
        <v>251458.4215897126</v>
      </c>
      <c r="AG27" s="104">
        <f t="shared" si="31"/>
        <v>0</v>
      </c>
      <c r="AH27" s="85">
        <f t="shared" si="32"/>
        <v>9089959</v>
      </c>
      <c r="AI27" s="85">
        <f t="shared" si="33"/>
        <v>251458.4215897126</v>
      </c>
      <c r="AJ27" s="91">
        <f t="shared" si="34"/>
        <v>151196.36350743382</v>
      </c>
      <c r="AK27" s="90">
        <f t="shared" si="35"/>
        <v>0.6012777879999999</v>
      </c>
      <c r="AL27" s="85">
        <f t="shared" si="36"/>
        <v>5314394.077023258</v>
      </c>
      <c r="AM27" s="85">
        <f t="shared" si="37"/>
        <v>402654.7850971464</v>
      </c>
      <c r="AN27" s="85">
        <f t="shared" si="38"/>
        <v>21289816.78509715</v>
      </c>
      <c r="AO27" s="85">
        <f t="shared" si="39"/>
        <v>3398.75747</v>
      </c>
      <c r="AP27" s="85">
        <v>21755374.4238</v>
      </c>
      <c r="AQ27" s="100">
        <f>'[1]Table 4 Formula'!$C27</f>
        <v>6340</v>
      </c>
      <c r="AR27" s="85">
        <f t="shared" si="40"/>
        <v>3431.45</v>
      </c>
      <c r="AS27" s="90">
        <f t="shared" si="1"/>
        <v>1.009618965250851</v>
      </c>
      <c r="AT27" s="164">
        <f t="shared" si="41"/>
        <v>0</v>
      </c>
      <c r="AU27" s="85">
        <f t="shared" si="2"/>
        <v>-260771.6238</v>
      </c>
      <c r="AV27" s="85">
        <f t="shared" si="42"/>
        <v>204786.0078999959</v>
      </c>
      <c r="AW27" s="84">
        <f t="shared" si="3"/>
        <v>6264</v>
      </c>
      <c r="AX27" s="85">
        <f t="shared" si="43"/>
        <v>32.6925299968065</v>
      </c>
      <c r="AY27" s="85">
        <f t="shared" si="4"/>
        <v>21494602.799999997</v>
      </c>
      <c r="AZ27" s="85">
        <f t="shared" si="44"/>
        <v>21289816.7921</v>
      </c>
      <c r="BA27" s="85">
        <f t="shared" si="45"/>
        <v>21494602.799999997</v>
      </c>
      <c r="BB27" s="85">
        <f t="shared" si="5"/>
        <v>3431.45</v>
      </c>
      <c r="BC27" s="90">
        <f t="shared" si="6"/>
        <v>1.009618965250851</v>
      </c>
      <c r="BD27" s="90">
        <f t="shared" si="46"/>
        <v>0.77</v>
      </c>
      <c r="BE27" s="85">
        <f t="shared" si="7"/>
        <v>6453382.99</v>
      </c>
      <c r="BF27" s="85">
        <f t="shared" si="8"/>
        <v>1030.23</v>
      </c>
      <c r="BG27" s="90">
        <f t="shared" si="47"/>
        <v>0.2309</v>
      </c>
      <c r="BH27" s="85">
        <f t="shared" si="48"/>
        <v>27947985.79</v>
      </c>
      <c r="BI27" s="85">
        <f t="shared" si="9"/>
        <v>4461.68</v>
      </c>
      <c r="BJ27" s="84">
        <v>6787</v>
      </c>
      <c r="BK27" s="92">
        <v>20</v>
      </c>
      <c r="BL27" s="84" t="s">
        <v>22</v>
      </c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1:164" s="7" customFormat="1" ht="12.75">
      <c r="A28" s="60">
        <v>21</v>
      </c>
      <c r="B28" s="61" t="s">
        <v>23</v>
      </c>
      <c r="C28" s="61">
        <v>3828</v>
      </c>
      <c r="D28" s="61">
        <v>2730</v>
      </c>
      <c r="E28" s="62">
        <f t="shared" si="10"/>
        <v>1439792</v>
      </c>
      <c r="F28" s="63">
        <f t="shared" si="49"/>
        <v>464</v>
      </c>
      <c r="G28" s="61">
        <v>1170</v>
      </c>
      <c r="H28" s="62">
        <f t="shared" si="11"/>
        <v>183077</v>
      </c>
      <c r="I28" s="61">
        <f t="shared" si="12"/>
        <v>59</v>
      </c>
      <c r="J28" s="61">
        <v>424</v>
      </c>
      <c r="K28" s="62">
        <f t="shared" si="13"/>
        <v>1973508</v>
      </c>
      <c r="L28" s="61">
        <f t="shared" si="14"/>
        <v>636</v>
      </c>
      <c r="M28" s="61">
        <v>103</v>
      </c>
      <c r="N28" s="62">
        <f t="shared" si="15"/>
        <v>192386</v>
      </c>
      <c r="O28" s="61">
        <f t="shared" si="16"/>
        <v>62</v>
      </c>
      <c r="P28" s="61">
        <f t="shared" si="17"/>
        <v>3672</v>
      </c>
      <c r="Q28" s="58">
        <f t="shared" si="18"/>
        <v>0.09792</v>
      </c>
      <c r="R28" s="62">
        <f t="shared" si="19"/>
        <v>1163625</v>
      </c>
      <c r="S28" s="61">
        <f t="shared" si="20"/>
        <v>375</v>
      </c>
      <c r="T28" s="61">
        <f t="shared" si="21"/>
        <v>1596</v>
      </c>
      <c r="U28" s="189">
        <f t="shared" si="22"/>
        <v>5424</v>
      </c>
      <c r="V28" s="62">
        <f t="shared" si="23"/>
        <v>3103</v>
      </c>
      <c r="W28" s="62">
        <f t="shared" si="24"/>
        <v>16830672</v>
      </c>
      <c r="X28" s="65">
        <f>'Tables 6-8 Local Wealth'!M28</f>
        <v>0.5216054</v>
      </c>
      <c r="Y28" s="65">
        <f t="shared" si="25"/>
        <v>0.00552448</v>
      </c>
      <c r="Z28" s="65">
        <f t="shared" si="26"/>
        <v>0.0028816</v>
      </c>
      <c r="AA28" s="62">
        <f t="shared" si="0"/>
        <v>3072638.0826024795</v>
      </c>
      <c r="AB28" s="66">
        <f t="shared" si="27"/>
        <v>0.1826</v>
      </c>
      <c r="AC28" s="67">
        <f t="shared" si="28"/>
        <v>13758033.917397521</v>
      </c>
      <c r="AD28" s="66">
        <f t="shared" si="29"/>
        <v>0.8174</v>
      </c>
      <c r="AE28" s="62">
        <f>'Tables 6-8 Local Wealth'!BI28</f>
        <v>3197175</v>
      </c>
      <c r="AF28" s="62">
        <f t="shared" si="30"/>
        <v>124536.9173975205</v>
      </c>
      <c r="AG28" s="70">
        <f t="shared" si="31"/>
        <v>0</v>
      </c>
      <c r="AH28" s="62">
        <f t="shared" si="32"/>
        <v>5554122</v>
      </c>
      <c r="AI28" s="62">
        <f t="shared" si="33"/>
        <v>124536.9173975205</v>
      </c>
      <c r="AJ28" s="67">
        <f t="shared" si="34"/>
        <v>85561.44022918012</v>
      </c>
      <c r="AK28" s="66">
        <f t="shared" si="35"/>
        <v>0.68703676</v>
      </c>
      <c r="AL28" s="62">
        <f t="shared" si="36"/>
        <v>3730324.54329554</v>
      </c>
      <c r="AM28" s="62">
        <f t="shared" si="37"/>
        <v>210098.35762670063</v>
      </c>
      <c r="AN28" s="62">
        <f t="shared" si="38"/>
        <v>13843595.3576267</v>
      </c>
      <c r="AO28" s="62">
        <f t="shared" si="39"/>
        <v>3616.40422</v>
      </c>
      <c r="AP28" s="62">
        <v>14096697.8856</v>
      </c>
      <c r="AQ28" s="57">
        <f>'[1]Table 4 Formula'!$C28</f>
        <v>4007</v>
      </c>
      <c r="AR28" s="62">
        <f t="shared" si="40"/>
        <v>3518.02</v>
      </c>
      <c r="AS28" s="66">
        <f t="shared" si="1"/>
        <v>0.9727950157076192</v>
      </c>
      <c r="AT28" s="163">
        <f t="shared" si="41"/>
        <v>0</v>
      </c>
      <c r="AU28" s="62">
        <f t="shared" si="2"/>
        <v>-253102.5314</v>
      </c>
      <c r="AV28" s="62">
        <f t="shared" si="42"/>
        <v>0</v>
      </c>
      <c r="AW28" s="61">
        <f t="shared" si="3"/>
        <v>0</v>
      </c>
      <c r="AX28" s="62">
        <f t="shared" si="43"/>
        <v>0</v>
      </c>
      <c r="AY28" s="62">
        <f t="shared" si="4"/>
        <v>13466980.56</v>
      </c>
      <c r="AZ28" s="62">
        <f t="shared" si="44"/>
        <v>13843595.3542</v>
      </c>
      <c r="BA28" s="62">
        <f t="shared" si="45"/>
        <v>13843595.3542</v>
      </c>
      <c r="BB28" s="62">
        <f t="shared" si="5"/>
        <v>3616.4</v>
      </c>
      <c r="BC28" s="66">
        <f t="shared" si="6"/>
        <v>0.999998833095046</v>
      </c>
      <c r="BD28" s="66">
        <f t="shared" si="46"/>
        <v>0.81</v>
      </c>
      <c r="BE28" s="62">
        <f t="shared" si="7"/>
        <v>3197175</v>
      </c>
      <c r="BF28" s="62">
        <f t="shared" si="8"/>
        <v>835.21</v>
      </c>
      <c r="BG28" s="66">
        <f t="shared" si="47"/>
        <v>0.1876</v>
      </c>
      <c r="BH28" s="62">
        <f t="shared" si="48"/>
        <v>17040770.35</v>
      </c>
      <c r="BI28" s="62">
        <f t="shared" si="9"/>
        <v>4451.61</v>
      </c>
      <c r="BJ28" s="61">
        <v>4280</v>
      </c>
      <c r="BK28" s="7">
        <v>21</v>
      </c>
      <c r="BL28" s="61" t="s">
        <v>23</v>
      </c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</row>
    <row r="29" spans="1:164" s="7" customFormat="1" ht="12.75">
      <c r="A29" s="60">
        <v>22</v>
      </c>
      <c r="B29" s="61" t="s">
        <v>24</v>
      </c>
      <c r="C29" s="61">
        <v>3589</v>
      </c>
      <c r="D29" s="61">
        <v>2093</v>
      </c>
      <c r="E29" s="62">
        <f t="shared" si="10"/>
        <v>1104668</v>
      </c>
      <c r="F29" s="63">
        <f t="shared" si="49"/>
        <v>356</v>
      </c>
      <c r="G29" s="61">
        <v>1394</v>
      </c>
      <c r="H29" s="62">
        <f t="shared" si="11"/>
        <v>217210</v>
      </c>
      <c r="I29" s="61">
        <f t="shared" si="12"/>
        <v>70</v>
      </c>
      <c r="J29" s="61">
        <v>482</v>
      </c>
      <c r="K29" s="62">
        <f t="shared" si="13"/>
        <v>2243469</v>
      </c>
      <c r="L29" s="61">
        <f t="shared" si="14"/>
        <v>723</v>
      </c>
      <c r="M29" s="61">
        <v>42</v>
      </c>
      <c r="N29" s="62">
        <f t="shared" si="15"/>
        <v>77575</v>
      </c>
      <c r="O29" s="61">
        <f t="shared" si="16"/>
        <v>25</v>
      </c>
      <c r="P29" s="61">
        <f t="shared" si="17"/>
        <v>3911</v>
      </c>
      <c r="Q29" s="58">
        <f t="shared" si="18"/>
        <v>0.10429</v>
      </c>
      <c r="R29" s="62">
        <f t="shared" si="19"/>
        <v>1160522</v>
      </c>
      <c r="S29" s="61">
        <f t="shared" si="20"/>
        <v>374</v>
      </c>
      <c r="T29" s="61">
        <f t="shared" si="21"/>
        <v>1548</v>
      </c>
      <c r="U29" s="61">
        <f t="shared" si="22"/>
        <v>5137</v>
      </c>
      <c r="V29" s="62">
        <f t="shared" si="23"/>
        <v>3103</v>
      </c>
      <c r="W29" s="62">
        <f t="shared" si="24"/>
        <v>15940111</v>
      </c>
      <c r="X29" s="65">
        <f>'Tables 6-8 Local Wealth'!M29</f>
        <v>0.34320154</v>
      </c>
      <c r="Y29" s="65">
        <f t="shared" si="25"/>
        <v>0.00523217</v>
      </c>
      <c r="Z29" s="65">
        <f t="shared" si="26"/>
        <v>0.00179569</v>
      </c>
      <c r="AA29" s="62">
        <f t="shared" si="0"/>
        <v>1914736.7707344692</v>
      </c>
      <c r="AB29" s="66">
        <f t="shared" si="27"/>
        <v>0.1201</v>
      </c>
      <c r="AC29" s="67">
        <f t="shared" si="28"/>
        <v>14025374.229265532</v>
      </c>
      <c r="AD29" s="66">
        <f t="shared" si="29"/>
        <v>0.8799</v>
      </c>
      <c r="AE29" s="62">
        <f>'Tables 6-8 Local Wealth'!BI29</f>
        <v>2740664</v>
      </c>
      <c r="AF29" s="62">
        <f t="shared" si="30"/>
        <v>825927.2292655308</v>
      </c>
      <c r="AG29" s="70">
        <f t="shared" si="31"/>
        <v>0</v>
      </c>
      <c r="AH29" s="62">
        <f t="shared" si="32"/>
        <v>5260237</v>
      </c>
      <c r="AI29" s="62">
        <f t="shared" si="33"/>
        <v>825927.2292655308</v>
      </c>
      <c r="AJ29" s="67">
        <f t="shared" si="34"/>
        <v>655851.531058413</v>
      </c>
      <c r="AK29" s="66">
        <f t="shared" si="35"/>
        <v>0.7940790760000002</v>
      </c>
      <c r="AL29" s="62">
        <f t="shared" si="36"/>
        <v>3521192.6054425994</v>
      </c>
      <c r="AM29" s="62">
        <f t="shared" si="37"/>
        <v>1481778.7603239438</v>
      </c>
      <c r="AN29" s="62">
        <f t="shared" si="38"/>
        <v>14681225.760323945</v>
      </c>
      <c r="AO29" s="62">
        <f t="shared" si="39"/>
        <v>4090.61738</v>
      </c>
      <c r="AP29" s="62">
        <v>14256180.7691</v>
      </c>
      <c r="AQ29" s="57">
        <f>'[1]Table 4 Formula'!$C29</f>
        <v>3615</v>
      </c>
      <c r="AR29" s="62">
        <f t="shared" si="40"/>
        <v>3943.62</v>
      </c>
      <c r="AS29" s="66">
        <f t="shared" si="1"/>
        <v>0.9640647446718665</v>
      </c>
      <c r="AT29" s="163">
        <f t="shared" si="41"/>
        <v>425044.9912239462</v>
      </c>
      <c r="AU29" s="62">
        <f t="shared" si="2"/>
        <v>425045.0077</v>
      </c>
      <c r="AV29" s="62">
        <f t="shared" si="42"/>
        <v>0</v>
      </c>
      <c r="AW29" s="61">
        <f t="shared" si="3"/>
        <v>0</v>
      </c>
      <c r="AX29" s="62">
        <f t="shared" si="43"/>
        <v>0</v>
      </c>
      <c r="AY29" s="62">
        <f t="shared" si="4"/>
        <v>14153652.18</v>
      </c>
      <c r="AZ29" s="62">
        <f t="shared" si="44"/>
        <v>14681225.7768</v>
      </c>
      <c r="BA29" s="62">
        <f t="shared" si="45"/>
        <v>14681225.7768</v>
      </c>
      <c r="BB29" s="62">
        <f t="shared" si="5"/>
        <v>4090.62</v>
      </c>
      <c r="BC29" s="66">
        <f t="shared" si="6"/>
        <v>1.0000006404901158</v>
      </c>
      <c r="BD29" s="66">
        <f t="shared" si="46"/>
        <v>0.84</v>
      </c>
      <c r="BE29" s="62">
        <f t="shared" si="7"/>
        <v>2740664</v>
      </c>
      <c r="BF29" s="62">
        <f t="shared" si="8"/>
        <v>763.63</v>
      </c>
      <c r="BG29" s="66">
        <f t="shared" si="47"/>
        <v>0.1573</v>
      </c>
      <c r="BH29" s="62">
        <f t="shared" si="48"/>
        <v>17421889.78</v>
      </c>
      <c r="BI29" s="62">
        <f t="shared" si="9"/>
        <v>4854.25</v>
      </c>
      <c r="BJ29" s="61">
        <v>3674</v>
      </c>
      <c r="BK29" s="7">
        <v>22</v>
      </c>
      <c r="BL29" s="61" t="s">
        <v>24</v>
      </c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1:164" s="7" customFormat="1" ht="12.75">
      <c r="A30" s="60">
        <v>23</v>
      </c>
      <c r="B30" s="61" t="s">
        <v>25</v>
      </c>
      <c r="C30" s="61">
        <v>14499</v>
      </c>
      <c r="D30" s="61">
        <v>8634</v>
      </c>
      <c r="E30" s="62">
        <f t="shared" si="10"/>
        <v>4555204</v>
      </c>
      <c r="F30" s="63">
        <f t="shared" si="49"/>
        <v>1468</v>
      </c>
      <c r="G30" s="61">
        <v>5197</v>
      </c>
      <c r="H30" s="62">
        <f t="shared" si="11"/>
        <v>806780</v>
      </c>
      <c r="I30" s="61">
        <f t="shared" si="12"/>
        <v>260</v>
      </c>
      <c r="J30" s="61">
        <v>2386</v>
      </c>
      <c r="K30" s="62">
        <f t="shared" si="13"/>
        <v>11105637</v>
      </c>
      <c r="L30" s="61">
        <f t="shared" si="14"/>
        <v>3579</v>
      </c>
      <c r="M30" s="61">
        <v>551</v>
      </c>
      <c r="N30" s="62">
        <f t="shared" si="15"/>
        <v>1027093</v>
      </c>
      <c r="O30" s="61">
        <f t="shared" si="16"/>
        <v>331</v>
      </c>
      <c r="P30" s="61">
        <f t="shared" si="17"/>
        <v>0</v>
      </c>
      <c r="Q30" s="58">
        <f t="shared" si="18"/>
        <v>0</v>
      </c>
      <c r="R30" s="62">
        <f t="shared" si="19"/>
        <v>0</v>
      </c>
      <c r="S30" s="61">
        <f t="shared" si="20"/>
        <v>0</v>
      </c>
      <c r="T30" s="61">
        <f t="shared" si="21"/>
        <v>5638</v>
      </c>
      <c r="U30" s="61">
        <f t="shared" si="22"/>
        <v>20137</v>
      </c>
      <c r="V30" s="62">
        <f t="shared" si="23"/>
        <v>3103</v>
      </c>
      <c r="W30" s="62">
        <f t="shared" si="24"/>
        <v>62485111</v>
      </c>
      <c r="X30" s="65">
        <f>'Tables 6-8 Local Wealth'!M30</f>
        <v>0.72232713</v>
      </c>
      <c r="Y30" s="65">
        <f t="shared" si="25"/>
        <v>0.02051006</v>
      </c>
      <c r="Z30" s="65">
        <f t="shared" si="26"/>
        <v>0.01481497</v>
      </c>
      <c r="AA30" s="62">
        <f t="shared" si="0"/>
        <v>15797140.829613153</v>
      </c>
      <c r="AB30" s="66">
        <f t="shared" si="27"/>
        <v>0.2528</v>
      </c>
      <c r="AC30" s="67">
        <f t="shared" si="28"/>
        <v>46687970.17038685</v>
      </c>
      <c r="AD30" s="66">
        <f t="shared" si="29"/>
        <v>0.7472</v>
      </c>
      <c r="AE30" s="62">
        <f>'Tables 6-8 Local Wealth'!BI30</f>
        <v>25821619</v>
      </c>
      <c r="AF30" s="62">
        <f t="shared" si="30"/>
        <v>10024478.170386847</v>
      </c>
      <c r="AG30" s="70">
        <f t="shared" si="31"/>
        <v>0</v>
      </c>
      <c r="AH30" s="62">
        <f t="shared" si="32"/>
        <v>20620087</v>
      </c>
      <c r="AI30" s="62">
        <f t="shared" si="33"/>
        <v>10024478.170386847</v>
      </c>
      <c r="AJ30" s="67">
        <f t="shared" si="34"/>
        <v>5679906.6424489375</v>
      </c>
      <c r="AK30" s="66">
        <f t="shared" si="35"/>
        <v>0.566603722</v>
      </c>
      <c r="AL30" s="62">
        <f t="shared" si="36"/>
        <v>6003511.399714876</v>
      </c>
      <c r="AM30" s="62">
        <f t="shared" si="37"/>
        <v>15704384.812835785</v>
      </c>
      <c r="AN30" s="62">
        <f t="shared" si="38"/>
        <v>52367876.81283579</v>
      </c>
      <c r="AO30" s="62">
        <f t="shared" si="39"/>
        <v>3611.8268</v>
      </c>
      <c r="AP30" s="62">
        <v>51203679.4547</v>
      </c>
      <c r="AQ30" s="57">
        <f>'[1]Table 4 Formula'!$C30</f>
        <v>14662</v>
      </c>
      <c r="AR30" s="62">
        <f t="shared" si="40"/>
        <v>3492.27</v>
      </c>
      <c r="AS30" s="66">
        <f t="shared" si="1"/>
        <v>0.9668985234840165</v>
      </c>
      <c r="AT30" s="163">
        <f t="shared" si="41"/>
        <v>1164197.3581357896</v>
      </c>
      <c r="AU30" s="62">
        <f t="shared" si="2"/>
        <v>1164197.3185</v>
      </c>
      <c r="AV30" s="62">
        <f t="shared" si="42"/>
        <v>0</v>
      </c>
      <c r="AW30" s="61">
        <f t="shared" si="3"/>
        <v>0</v>
      </c>
      <c r="AX30" s="62">
        <f t="shared" si="43"/>
        <v>0</v>
      </c>
      <c r="AY30" s="62">
        <f t="shared" si="4"/>
        <v>50634422.73</v>
      </c>
      <c r="AZ30" s="62">
        <f t="shared" si="44"/>
        <v>52367876.7732</v>
      </c>
      <c r="BA30" s="62">
        <f t="shared" si="45"/>
        <v>52367876.7732</v>
      </c>
      <c r="BB30" s="62">
        <f t="shared" si="5"/>
        <v>3611.83</v>
      </c>
      <c r="BC30" s="66">
        <f t="shared" si="6"/>
        <v>1.0000008859782534</v>
      </c>
      <c r="BD30" s="66">
        <f t="shared" si="46"/>
        <v>0.67</v>
      </c>
      <c r="BE30" s="62">
        <f t="shared" si="7"/>
        <v>25821619</v>
      </c>
      <c r="BF30" s="62">
        <f t="shared" si="8"/>
        <v>1780.92</v>
      </c>
      <c r="BG30" s="66">
        <f t="shared" si="47"/>
        <v>0.3302</v>
      </c>
      <c r="BH30" s="62">
        <f t="shared" si="48"/>
        <v>78189495.77</v>
      </c>
      <c r="BI30" s="62">
        <f t="shared" si="9"/>
        <v>5392.75</v>
      </c>
      <c r="BJ30" s="61">
        <v>15222</v>
      </c>
      <c r="BK30" s="7">
        <v>23</v>
      </c>
      <c r="BL30" s="61" t="s">
        <v>25</v>
      </c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</row>
    <row r="31" spans="1:164" s="7" customFormat="1" ht="12.75">
      <c r="A31" s="60">
        <v>24</v>
      </c>
      <c r="B31" s="61" t="s">
        <v>26</v>
      </c>
      <c r="C31" s="61">
        <v>4921</v>
      </c>
      <c r="D31" s="61">
        <v>3789</v>
      </c>
      <c r="E31" s="62">
        <f t="shared" si="10"/>
        <v>1998332</v>
      </c>
      <c r="F31" s="63">
        <f t="shared" si="49"/>
        <v>644</v>
      </c>
      <c r="G31" s="61">
        <v>1607</v>
      </c>
      <c r="H31" s="62">
        <f t="shared" si="11"/>
        <v>248240</v>
      </c>
      <c r="I31" s="61">
        <f t="shared" si="12"/>
        <v>80</v>
      </c>
      <c r="J31" s="61">
        <v>691</v>
      </c>
      <c r="K31" s="62">
        <f t="shared" si="13"/>
        <v>3217811</v>
      </c>
      <c r="L31" s="61">
        <f t="shared" si="14"/>
        <v>1037</v>
      </c>
      <c r="M31" s="61">
        <v>70</v>
      </c>
      <c r="N31" s="62">
        <f t="shared" si="15"/>
        <v>130326</v>
      </c>
      <c r="O31" s="61">
        <f t="shared" si="16"/>
        <v>42</v>
      </c>
      <c r="P31" s="61">
        <f t="shared" si="17"/>
        <v>2579</v>
      </c>
      <c r="Q31" s="58">
        <f t="shared" si="18"/>
        <v>0.06877</v>
      </c>
      <c r="R31" s="62">
        <f t="shared" si="19"/>
        <v>1048814</v>
      </c>
      <c r="S31" s="61">
        <f t="shared" si="20"/>
        <v>338</v>
      </c>
      <c r="T31" s="61">
        <f t="shared" si="21"/>
        <v>2141</v>
      </c>
      <c r="U31" s="61">
        <f t="shared" si="22"/>
        <v>7062</v>
      </c>
      <c r="V31" s="62">
        <f t="shared" si="23"/>
        <v>3103</v>
      </c>
      <c r="W31" s="62">
        <f t="shared" si="24"/>
        <v>21913386</v>
      </c>
      <c r="X31" s="65">
        <f>'Tables 6-8 Local Wealth'!M31</f>
        <v>1.61819835</v>
      </c>
      <c r="Y31" s="65">
        <f t="shared" si="25"/>
        <v>0.00719283</v>
      </c>
      <c r="Z31" s="65">
        <f t="shared" si="26"/>
        <v>0.01163943</v>
      </c>
      <c r="AA31" s="62">
        <f t="shared" si="0"/>
        <v>12411075.748815164</v>
      </c>
      <c r="AB31" s="66">
        <f t="shared" si="27"/>
        <v>0.5664</v>
      </c>
      <c r="AC31" s="67">
        <f t="shared" si="28"/>
        <v>9502310.251184836</v>
      </c>
      <c r="AD31" s="66">
        <f t="shared" si="29"/>
        <v>0.4336</v>
      </c>
      <c r="AE31" s="62">
        <f>'Tables 6-8 Local Wealth'!BI31</f>
        <v>18497374.5</v>
      </c>
      <c r="AF31" s="62">
        <f t="shared" si="30"/>
        <v>6086298.751184836</v>
      </c>
      <c r="AG31" s="70">
        <f t="shared" si="31"/>
        <v>0</v>
      </c>
      <c r="AH31" s="62">
        <f t="shared" si="32"/>
        <v>7231417</v>
      </c>
      <c r="AI31" s="62">
        <f t="shared" si="33"/>
        <v>6086298.751184836</v>
      </c>
      <c r="AJ31" s="67">
        <f t="shared" si="34"/>
        <v>176995.59312021922</v>
      </c>
      <c r="AK31" s="66">
        <f t="shared" si="35"/>
        <v>0.029080990000000084</v>
      </c>
      <c r="AL31" s="62">
        <f t="shared" si="36"/>
        <v>33301.17234261139</v>
      </c>
      <c r="AM31" s="62">
        <f t="shared" si="37"/>
        <v>6263294.344305055</v>
      </c>
      <c r="AN31" s="62">
        <f t="shared" si="38"/>
        <v>9679305.844305055</v>
      </c>
      <c r="AO31" s="62">
        <f t="shared" si="39"/>
        <v>1966.9388</v>
      </c>
      <c r="AP31" s="62">
        <v>12958159.5</v>
      </c>
      <c r="AQ31" s="57">
        <f>'[1]Table 4 Formula'!$C31</f>
        <v>5070</v>
      </c>
      <c r="AR31" s="62">
        <f t="shared" si="40"/>
        <v>2555.85</v>
      </c>
      <c r="AS31" s="66">
        <f t="shared" si="1"/>
        <v>1.2994049433566515</v>
      </c>
      <c r="AT31" s="163">
        <f t="shared" si="41"/>
        <v>0</v>
      </c>
      <c r="AU31" s="62">
        <f t="shared" si="2"/>
        <v>-380821.65</v>
      </c>
      <c r="AV31" s="62">
        <f t="shared" si="42"/>
        <v>2898032.0152000003</v>
      </c>
      <c r="AW31" s="61">
        <f t="shared" si="3"/>
        <v>4921</v>
      </c>
      <c r="AX31" s="62">
        <f t="shared" si="43"/>
        <v>588.9112</v>
      </c>
      <c r="AY31" s="62">
        <f t="shared" si="4"/>
        <v>12577337.85</v>
      </c>
      <c r="AZ31" s="62">
        <f t="shared" si="44"/>
        <v>9679305.8348</v>
      </c>
      <c r="BA31" s="62">
        <f t="shared" si="45"/>
        <v>12577337.85</v>
      </c>
      <c r="BB31" s="62">
        <f t="shared" si="5"/>
        <v>2555.85</v>
      </c>
      <c r="BC31" s="66">
        <f t="shared" si="6"/>
        <v>1.2994049433566515</v>
      </c>
      <c r="BD31" s="66">
        <f t="shared" si="46"/>
        <v>0.45</v>
      </c>
      <c r="BE31" s="62">
        <f t="shared" si="7"/>
        <v>15599342.48</v>
      </c>
      <c r="BF31" s="62">
        <f t="shared" si="8"/>
        <v>3169.95</v>
      </c>
      <c r="BG31" s="66">
        <f t="shared" si="47"/>
        <v>0.5536</v>
      </c>
      <c r="BH31" s="62">
        <f t="shared" si="48"/>
        <v>28176680.33</v>
      </c>
      <c r="BI31" s="62">
        <f t="shared" si="9"/>
        <v>5725.8</v>
      </c>
      <c r="BJ31" s="61">
        <v>5280</v>
      </c>
      <c r="BK31" s="7">
        <v>24</v>
      </c>
      <c r="BL31" s="61" t="s">
        <v>26</v>
      </c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1:164" s="92" customFormat="1" ht="12.75">
      <c r="A32" s="83">
        <v>25</v>
      </c>
      <c r="B32" s="84" t="s">
        <v>27</v>
      </c>
      <c r="C32" s="84">
        <v>2555</v>
      </c>
      <c r="D32" s="84">
        <v>1413</v>
      </c>
      <c r="E32" s="85">
        <f t="shared" si="10"/>
        <v>744720</v>
      </c>
      <c r="F32" s="86">
        <f t="shared" si="49"/>
        <v>240</v>
      </c>
      <c r="G32" s="84">
        <v>1032</v>
      </c>
      <c r="H32" s="85">
        <f t="shared" si="11"/>
        <v>161356</v>
      </c>
      <c r="I32" s="84">
        <f t="shared" si="12"/>
        <v>52</v>
      </c>
      <c r="J32" s="84">
        <v>296</v>
      </c>
      <c r="K32" s="85">
        <f t="shared" si="13"/>
        <v>1377732</v>
      </c>
      <c r="L32" s="84">
        <f t="shared" si="14"/>
        <v>444</v>
      </c>
      <c r="M32" s="84">
        <v>62</v>
      </c>
      <c r="N32" s="85">
        <f t="shared" si="15"/>
        <v>114811</v>
      </c>
      <c r="O32" s="84">
        <f t="shared" si="16"/>
        <v>37</v>
      </c>
      <c r="P32" s="84">
        <f t="shared" si="17"/>
        <v>4945</v>
      </c>
      <c r="Q32" s="87">
        <f t="shared" si="18"/>
        <v>0.13187</v>
      </c>
      <c r="R32" s="85">
        <f t="shared" si="19"/>
        <v>1045711</v>
      </c>
      <c r="S32" s="84">
        <f t="shared" si="20"/>
        <v>337</v>
      </c>
      <c r="T32" s="84">
        <f t="shared" si="21"/>
        <v>1110</v>
      </c>
      <c r="U32" s="61">
        <f t="shared" si="22"/>
        <v>3665</v>
      </c>
      <c r="V32" s="85">
        <f t="shared" si="23"/>
        <v>3103</v>
      </c>
      <c r="W32" s="85">
        <f t="shared" si="24"/>
        <v>11372495</v>
      </c>
      <c r="X32" s="89">
        <f>'Tables 6-8 Local Wealth'!M32</f>
        <v>0.65901113</v>
      </c>
      <c r="Y32" s="89">
        <f t="shared" si="25"/>
        <v>0.0037329</v>
      </c>
      <c r="Z32" s="89">
        <f t="shared" si="26"/>
        <v>0.00246002</v>
      </c>
      <c r="AA32" s="85">
        <f t="shared" si="0"/>
        <v>2623109.0838297307</v>
      </c>
      <c r="AB32" s="90">
        <f t="shared" si="27"/>
        <v>0.2307</v>
      </c>
      <c r="AC32" s="91">
        <f t="shared" si="28"/>
        <v>8749385.91617027</v>
      </c>
      <c r="AD32" s="90">
        <f t="shared" si="29"/>
        <v>0.7693</v>
      </c>
      <c r="AE32" s="85">
        <f>'Tables 6-8 Local Wealth'!BI32</f>
        <v>4526932</v>
      </c>
      <c r="AF32" s="85">
        <f t="shared" si="30"/>
        <v>1903822.9161702693</v>
      </c>
      <c r="AG32" s="104">
        <f t="shared" si="31"/>
        <v>0</v>
      </c>
      <c r="AH32" s="85">
        <f t="shared" si="32"/>
        <v>3752923</v>
      </c>
      <c r="AI32" s="85">
        <f t="shared" si="33"/>
        <v>1903822.9161702693</v>
      </c>
      <c r="AJ32" s="91">
        <f t="shared" si="34"/>
        <v>1151038.6213871106</v>
      </c>
      <c r="AK32" s="90">
        <f t="shared" si="35"/>
        <v>0.6045933219999999</v>
      </c>
      <c r="AL32" s="85">
        <f t="shared" si="36"/>
        <v>1117953.5623930953</v>
      </c>
      <c r="AM32" s="85">
        <f t="shared" si="37"/>
        <v>3054861.53755738</v>
      </c>
      <c r="AN32" s="85">
        <f t="shared" si="38"/>
        <v>9900424.53755738</v>
      </c>
      <c r="AO32" s="85">
        <f t="shared" si="39"/>
        <v>3874.92154</v>
      </c>
      <c r="AP32" s="85">
        <v>10096854.1661</v>
      </c>
      <c r="AQ32" s="100">
        <f>'[1]Table 4 Formula'!$C32</f>
        <v>2682</v>
      </c>
      <c r="AR32" s="85">
        <f t="shared" si="40"/>
        <v>3764.67</v>
      </c>
      <c r="AS32" s="90">
        <f t="shared" si="1"/>
        <v>0.9715474135767921</v>
      </c>
      <c r="AT32" s="164">
        <f t="shared" si="41"/>
        <v>0</v>
      </c>
      <c r="AU32" s="85">
        <f t="shared" si="2"/>
        <v>-196429.6314</v>
      </c>
      <c r="AV32" s="85">
        <f t="shared" si="42"/>
        <v>0</v>
      </c>
      <c r="AW32" s="84">
        <f t="shared" si="3"/>
        <v>0</v>
      </c>
      <c r="AX32" s="85">
        <f t="shared" si="43"/>
        <v>0</v>
      </c>
      <c r="AY32" s="85">
        <f t="shared" si="4"/>
        <v>9618731.85</v>
      </c>
      <c r="AZ32" s="85">
        <f t="shared" si="44"/>
        <v>9900424.5347</v>
      </c>
      <c r="BA32" s="85">
        <f t="shared" si="45"/>
        <v>9900424.5347</v>
      </c>
      <c r="BB32" s="85">
        <f t="shared" si="5"/>
        <v>3874.92</v>
      </c>
      <c r="BC32" s="90">
        <f t="shared" si="6"/>
        <v>0.9999996025725982</v>
      </c>
      <c r="BD32" s="90">
        <f t="shared" si="46"/>
        <v>0.69</v>
      </c>
      <c r="BE32" s="85">
        <f t="shared" si="7"/>
        <v>4526932</v>
      </c>
      <c r="BF32" s="85">
        <f t="shared" si="8"/>
        <v>1771.79</v>
      </c>
      <c r="BG32" s="90">
        <f t="shared" si="47"/>
        <v>0.3138</v>
      </c>
      <c r="BH32" s="85">
        <f t="shared" si="48"/>
        <v>14427356.53</v>
      </c>
      <c r="BI32" s="85">
        <f t="shared" si="9"/>
        <v>5646.71</v>
      </c>
      <c r="BJ32" s="84">
        <v>2812</v>
      </c>
      <c r="BK32" s="92">
        <v>25</v>
      </c>
      <c r="BL32" s="84" t="s">
        <v>27</v>
      </c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</row>
    <row r="33" spans="1:164" s="7" customFormat="1" ht="12.75">
      <c r="A33" s="60">
        <v>26</v>
      </c>
      <c r="B33" s="61" t="s">
        <v>28</v>
      </c>
      <c r="C33" s="61">
        <v>50325</v>
      </c>
      <c r="D33" s="61">
        <v>33678</v>
      </c>
      <c r="E33" s="62">
        <f t="shared" si="10"/>
        <v>17764675</v>
      </c>
      <c r="F33" s="63">
        <f t="shared" si="49"/>
        <v>5725</v>
      </c>
      <c r="G33" s="61">
        <v>9709</v>
      </c>
      <c r="H33" s="62">
        <f t="shared" si="11"/>
        <v>1504955</v>
      </c>
      <c r="I33" s="61">
        <f t="shared" si="12"/>
        <v>485</v>
      </c>
      <c r="J33" s="61">
        <v>7712</v>
      </c>
      <c r="K33" s="62">
        <f t="shared" si="13"/>
        <v>35895504</v>
      </c>
      <c r="L33" s="61">
        <f t="shared" si="14"/>
        <v>11568</v>
      </c>
      <c r="M33" s="61">
        <v>2502</v>
      </c>
      <c r="N33" s="62">
        <f t="shared" si="15"/>
        <v>4657603</v>
      </c>
      <c r="O33" s="61">
        <f t="shared" si="16"/>
        <v>1501</v>
      </c>
      <c r="P33" s="61">
        <f t="shared" si="17"/>
        <v>0</v>
      </c>
      <c r="Q33" s="58">
        <f t="shared" si="18"/>
        <v>0</v>
      </c>
      <c r="R33" s="62">
        <f t="shared" si="19"/>
        <v>0</v>
      </c>
      <c r="S33" s="61">
        <f t="shared" si="20"/>
        <v>0</v>
      </c>
      <c r="T33" s="61">
        <f t="shared" si="21"/>
        <v>19279</v>
      </c>
      <c r="U33" s="189">
        <f t="shared" si="22"/>
        <v>69604</v>
      </c>
      <c r="V33" s="62">
        <f t="shared" si="23"/>
        <v>3103</v>
      </c>
      <c r="W33" s="62">
        <f t="shared" si="24"/>
        <v>215981212</v>
      </c>
      <c r="X33" s="65">
        <f>'Tables 6-8 Local Wealth'!M33</f>
        <v>1.62258315</v>
      </c>
      <c r="Y33" s="65">
        <f t="shared" si="25"/>
        <v>0.07089348</v>
      </c>
      <c r="Z33" s="65">
        <f t="shared" si="26"/>
        <v>0.11503057</v>
      </c>
      <c r="AA33" s="62">
        <f t="shared" si="0"/>
        <v>122656617.86697333</v>
      </c>
      <c r="AB33" s="66">
        <f t="shared" si="27"/>
        <v>0.5679</v>
      </c>
      <c r="AC33" s="67">
        <f t="shared" si="28"/>
        <v>93324594.13302667</v>
      </c>
      <c r="AD33" s="66">
        <f t="shared" si="29"/>
        <v>0.4321</v>
      </c>
      <c r="AE33" s="62">
        <f>'Tables 6-8 Local Wealth'!BI33</f>
        <v>164386053.5</v>
      </c>
      <c r="AF33" s="62">
        <f t="shared" si="30"/>
        <v>41729435.633026674</v>
      </c>
      <c r="AG33" s="70">
        <f t="shared" si="31"/>
        <v>0</v>
      </c>
      <c r="AH33" s="62">
        <f t="shared" si="32"/>
        <v>71273800</v>
      </c>
      <c r="AI33" s="62">
        <f t="shared" si="33"/>
        <v>41729435.633026674</v>
      </c>
      <c r="AJ33" s="67">
        <f t="shared" si="34"/>
        <v>1103748.162731474</v>
      </c>
      <c r="AK33" s="66">
        <f t="shared" si="35"/>
        <v>0.02645010999999997</v>
      </c>
      <c r="AL33" s="62">
        <f t="shared" si="36"/>
        <v>781451.6873865239</v>
      </c>
      <c r="AM33" s="62">
        <f t="shared" si="37"/>
        <v>42833183.79575815</v>
      </c>
      <c r="AN33" s="62">
        <f t="shared" si="38"/>
        <v>94428342.29575814</v>
      </c>
      <c r="AO33" s="62">
        <f t="shared" si="39"/>
        <v>1876.37044</v>
      </c>
      <c r="AP33" s="62">
        <v>123140408.3</v>
      </c>
      <c r="AQ33" s="57">
        <f>'[1]Table 4 Formula'!$C33</f>
        <v>51310</v>
      </c>
      <c r="AR33" s="62">
        <f t="shared" si="40"/>
        <v>2399.93</v>
      </c>
      <c r="AS33" s="66">
        <f t="shared" si="1"/>
        <v>1.2790278235250818</v>
      </c>
      <c r="AT33" s="163">
        <f t="shared" si="41"/>
        <v>0</v>
      </c>
      <c r="AU33" s="62">
        <f t="shared" si="2"/>
        <v>-2363931.05</v>
      </c>
      <c r="AV33" s="62">
        <f t="shared" si="42"/>
        <v>26348134.85699998</v>
      </c>
      <c r="AW33" s="61">
        <f t="shared" si="3"/>
        <v>50325</v>
      </c>
      <c r="AX33" s="62">
        <f t="shared" si="43"/>
        <v>523.5595599999996</v>
      </c>
      <c r="AY33" s="62">
        <f t="shared" si="4"/>
        <v>120776477.24999999</v>
      </c>
      <c r="AZ33" s="62">
        <f t="shared" si="44"/>
        <v>94428342.393</v>
      </c>
      <c r="BA33" s="62">
        <f t="shared" si="45"/>
        <v>120776477.24999999</v>
      </c>
      <c r="BB33" s="62">
        <f t="shared" si="5"/>
        <v>2399.93</v>
      </c>
      <c r="BC33" s="66">
        <f t="shared" si="6"/>
        <v>1.2790278235250818</v>
      </c>
      <c r="BD33" s="66">
        <f t="shared" si="46"/>
        <v>0.47</v>
      </c>
      <c r="BE33" s="62">
        <f t="shared" si="7"/>
        <v>138037918.64</v>
      </c>
      <c r="BF33" s="62">
        <f t="shared" si="8"/>
        <v>2742.93</v>
      </c>
      <c r="BG33" s="66">
        <f t="shared" si="47"/>
        <v>0.5333</v>
      </c>
      <c r="BH33" s="62">
        <f t="shared" si="48"/>
        <v>258814395.89</v>
      </c>
      <c r="BI33" s="62">
        <f t="shared" si="9"/>
        <v>5142.86</v>
      </c>
      <c r="BJ33" s="61">
        <v>54029</v>
      </c>
      <c r="BK33" s="7">
        <v>26</v>
      </c>
      <c r="BL33" s="61" t="s">
        <v>28</v>
      </c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1:164" s="7" customFormat="1" ht="12.75">
      <c r="A34" s="60">
        <v>27</v>
      </c>
      <c r="B34" s="61" t="s">
        <v>29</v>
      </c>
      <c r="C34" s="61">
        <v>5854</v>
      </c>
      <c r="D34" s="61">
        <v>3324</v>
      </c>
      <c r="E34" s="62">
        <f t="shared" si="10"/>
        <v>1753195</v>
      </c>
      <c r="F34" s="63">
        <f t="shared" si="49"/>
        <v>565</v>
      </c>
      <c r="G34" s="61">
        <v>2189</v>
      </c>
      <c r="H34" s="62">
        <f t="shared" si="11"/>
        <v>338227</v>
      </c>
      <c r="I34" s="61">
        <f t="shared" si="12"/>
        <v>109</v>
      </c>
      <c r="J34" s="61">
        <v>1013</v>
      </c>
      <c r="K34" s="62">
        <f t="shared" si="13"/>
        <v>4716560</v>
      </c>
      <c r="L34" s="61">
        <f t="shared" si="14"/>
        <v>1520</v>
      </c>
      <c r="M34" s="61">
        <v>138</v>
      </c>
      <c r="N34" s="62">
        <f t="shared" si="15"/>
        <v>257549</v>
      </c>
      <c r="O34" s="61">
        <f t="shared" si="16"/>
        <v>83</v>
      </c>
      <c r="P34" s="61">
        <f t="shared" si="17"/>
        <v>1646</v>
      </c>
      <c r="Q34" s="58">
        <f t="shared" si="18"/>
        <v>0.04389</v>
      </c>
      <c r="R34" s="62">
        <f t="shared" si="19"/>
        <v>797471</v>
      </c>
      <c r="S34" s="61">
        <f t="shared" si="20"/>
        <v>257</v>
      </c>
      <c r="T34" s="61">
        <f t="shared" si="21"/>
        <v>2534</v>
      </c>
      <c r="U34" s="61">
        <f t="shared" si="22"/>
        <v>8388</v>
      </c>
      <c r="V34" s="62">
        <f t="shared" si="23"/>
        <v>3103</v>
      </c>
      <c r="W34" s="62">
        <f t="shared" si="24"/>
        <v>26027964</v>
      </c>
      <c r="X34" s="65">
        <f>'Tables 6-8 Local Wealth'!M34</f>
        <v>0.65473639</v>
      </c>
      <c r="Y34" s="65">
        <f t="shared" si="25"/>
        <v>0.0085434</v>
      </c>
      <c r="Z34" s="65">
        <f t="shared" si="26"/>
        <v>0.00559367</v>
      </c>
      <c r="AA34" s="62">
        <f t="shared" si="0"/>
        <v>5964507.032034638</v>
      </c>
      <c r="AB34" s="66">
        <f t="shared" si="27"/>
        <v>0.2292</v>
      </c>
      <c r="AC34" s="67">
        <f t="shared" si="28"/>
        <v>20063456.96796536</v>
      </c>
      <c r="AD34" s="66">
        <f t="shared" si="29"/>
        <v>0.7708</v>
      </c>
      <c r="AE34" s="62">
        <f>'Tables 6-8 Local Wealth'!BI34</f>
        <v>9342062</v>
      </c>
      <c r="AF34" s="62">
        <f t="shared" si="30"/>
        <v>3377554.9679653617</v>
      </c>
      <c r="AG34" s="70">
        <f t="shared" si="31"/>
        <v>0</v>
      </c>
      <c r="AH34" s="62">
        <f t="shared" si="32"/>
        <v>8589228</v>
      </c>
      <c r="AI34" s="62">
        <f t="shared" si="33"/>
        <v>3377554.9679653617</v>
      </c>
      <c r="AJ34" s="67">
        <f t="shared" si="34"/>
        <v>2050710.0799140378</v>
      </c>
      <c r="AK34" s="66">
        <f t="shared" si="35"/>
        <v>0.607158166</v>
      </c>
      <c r="AL34" s="62">
        <f t="shared" si="36"/>
        <v>3164309.8399218107</v>
      </c>
      <c r="AM34" s="62">
        <f t="shared" si="37"/>
        <v>5428265.0478794</v>
      </c>
      <c r="AN34" s="62">
        <f t="shared" si="38"/>
        <v>22114167.047879398</v>
      </c>
      <c r="AO34" s="62">
        <f t="shared" si="39"/>
        <v>3777.61651</v>
      </c>
      <c r="AP34" s="62">
        <v>21615995.4107</v>
      </c>
      <c r="AQ34" s="57">
        <f>'[1]Table 4 Formula'!$C34</f>
        <v>5957</v>
      </c>
      <c r="AR34" s="62">
        <f t="shared" si="40"/>
        <v>3628.67</v>
      </c>
      <c r="AS34" s="66">
        <f t="shared" si="1"/>
        <v>0.9605712994938177</v>
      </c>
      <c r="AT34" s="163">
        <f t="shared" si="41"/>
        <v>498171.63717939705</v>
      </c>
      <c r="AU34" s="62">
        <f t="shared" si="2"/>
        <v>498171.6388</v>
      </c>
      <c r="AV34" s="62">
        <f t="shared" si="42"/>
        <v>0</v>
      </c>
      <c r="AW34" s="61">
        <f t="shared" si="3"/>
        <v>0</v>
      </c>
      <c r="AX34" s="62">
        <f t="shared" si="43"/>
        <v>0</v>
      </c>
      <c r="AY34" s="62">
        <f t="shared" si="4"/>
        <v>21242234.18</v>
      </c>
      <c r="AZ34" s="62">
        <f t="shared" si="44"/>
        <v>22114167.0495</v>
      </c>
      <c r="BA34" s="62">
        <f t="shared" si="45"/>
        <v>22114167.0495</v>
      </c>
      <c r="BB34" s="62">
        <f t="shared" si="5"/>
        <v>3777.62</v>
      </c>
      <c r="BC34" s="66">
        <f t="shared" si="6"/>
        <v>1.0000009238629677</v>
      </c>
      <c r="BD34" s="66">
        <f t="shared" si="46"/>
        <v>0.7</v>
      </c>
      <c r="BE34" s="62">
        <f t="shared" si="7"/>
        <v>9342062</v>
      </c>
      <c r="BF34" s="62">
        <f t="shared" si="8"/>
        <v>1595.84</v>
      </c>
      <c r="BG34" s="66">
        <f t="shared" si="47"/>
        <v>0.297</v>
      </c>
      <c r="BH34" s="62">
        <f t="shared" si="48"/>
        <v>31456229.05</v>
      </c>
      <c r="BI34" s="62">
        <f t="shared" si="9"/>
        <v>5373.46</v>
      </c>
      <c r="BJ34" s="61">
        <v>6239</v>
      </c>
      <c r="BK34" s="7">
        <v>27</v>
      </c>
      <c r="BL34" s="61" t="s">
        <v>29</v>
      </c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</row>
    <row r="35" spans="1:164" s="7" customFormat="1" ht="12.75">
      <c r="A35" s="60">
        <v>28</v>
      </c>
      <c r="B35" s="61" t="s">
        <v>30</v>
      </c>
      <c r="C35" s="61">
        <v>29132</v>
      </c>
      <c r="D35" s="61">
        <v>13431</v>
      </c>
      <c r="E35" s="62">
        <f t="shared" si="10"/>
        <v>7084149</v>
      </c>
      <c r="F35" s="63">
        <f t="shared" si="49"/>
        <v>2283</v>
      </c>
      <c r="G35" s="61">
        <v>5934</v>
      </c>
      <c r="H35" s="62">
        <f t="shared" si="11"/>
        <v>921591</v>
      </c>
      <c r="I35" s="61">
        <f t="shared" si="12"/>
        <v>297</v>
      </c>
      <c r="J35" s="61">
        <v>3360</v>
      </c>
      <c r="K35" s="62">
        <f t="shared" si="13"/>
        <v>15639120</v>
      </c>
      <c r="L35" s="61">
        <f t="shared" si="14"/>
        <v>5040</v>
      </c>
      <c r="M35" s="61">
        <v>1320</v>
      </c>
      <c r="N35" s="62">
        <f t="shared" si="15"/>
        <v>2457576</v>
      </c>
      <c r="O35" s="61">
        <f t="shared" si="16"/>
        <v>792</v>
      </c>
      <c r="P35" s="61">
        <f t="shared" si="17"/>
        <v>0</v>
      </c>
      <c r="Q35" s="58">
        <f t="shared" si="18"/>
        <v>0</v>
      </c>
      <c r="R35" s="62">
        <f t="shared" si="19"/>
        <v>0</v>
      </c>
      <c r="S35" s="61">
        <f t="shared" si="20"/>
        <v>0</v>
      </c>
      <c r="T35" s="61">
        <f t="shared" si="21"/>
        <v>8412</v>
      </c>
      <c r="U35" s="61">
        <f t="shared" si="22"/>
        <v>37544</v>
      </c>
      <c r="V35" s="62">
        <f t="shared" si="23"/>
        <v>3103</v>
      </c>
      <c r="W35" s="62">
        <f t="shared" si="24"/>
        <v>116499032</v>
      </c>
      <c r="X35" s="65">
        <f>'Tables 6-8 Local Wealth'!M35</f>
        <v>1.32015964</v>
      </c>
      <c r="Y35" s="65">
        <f t="shared" si="25"/>
        <v>0.03823954</v>
      </c>
      <c r="Z35" s="65">
        <f t="shared" si="26"/>
        <v>0.0504823</v>
      </c>
      <c r="AA35" s="62">
        <f t="shared" si="0"/>
        <v>53829066.30946806</v>
      </c>
      <c r="AB35" s="66">
        <f t="shared" si="27"/>
        <v>0.4621</v>
      </c>
      <c r="AC35" s="67">
        <f t="shared" si="28"/>
        <v>62669965.69053194</v>
      </c>
      <c r="AD35" s="66">
        <f t="shared" si="29"/>
        <v>0.5379</v>
      </c>
      <c r="AE35" s="62">
        <f>'Tables 6-8 Local Wealth'!BI35</f>
        <v>71246414</v>
      </c>
      <c r="AF35" s="62">
        <f t="shared" si="30"/>
        <v>17417347.69053194</v>
      </c>
      <c r="AG35" s="70">
        <f t="shared" si="31"/>
        <v>0</v>
      </c>
      <c r="AH35" s="62">
        <f t="shared" si="32"/>
        <v>38444681</v>
      </c>
      <c r="AI35" s="62">
        <f t="shared" si="33"/>
        <v>17417347.69053194</v>
      </c>
      <c r="AJ35" s="67">
        <f t="shared" si="34"/>
        <v>3621140.016399455</v>
      </c>
      <c r="AK35" s="66">
        <f t="shared" si="35"/>
        <v>0.20790421600000009</v>
      </c>
      <c r="AL35" s="62">
        <f t="shared" si="36"/>
        <v>4371671.246275645</v>
      </c>
      <c r="AM35" s="62">
        <f t="shared" si="37"/>
        <v>21038487.706931394</v>
      </c>
      <c r="AN35" s="62">
        <f t="shared" si="38"/>
        <v>66291105.7069314</v>
      </c>
      <c r="AO35" s="62">
        <f t="shared" si="39"/>
        <v>2275.54255</v>
      </c>
      <c r="AP35" s="62">
        <v>70094687.4</v>
      </c>
      <c r="AQ35" s="57">
        <f>'[1]Table 4 Formula'!$C35</f>
        <v>29745</v>
      </c>
      <c r="AR35" s="62">
        <f t="shared" si="40"/>
        <v>2356.52</v>
      </c>
      <c r="AS35" s="66">
        <f t="shared" si="1"/>
        <v>1.0355859968428187</v>
      </c>
      <c r="AT35" s="163">
        <f t="shared" si="41"/>
        <v>0</v>
      </c>
      <c r="AU35" s="62">
        <f t="shared" si="2"/>
        <v>-1444546.76</v>
      </c>
      <c r="AV35" s="62">
        <f t="shared" si="42"/>
        <v>2359035.0733999982</v>
      </c>
      <c r="AW35" s="61">
        <f t="shared" si="3"/>
        <v>29132</v>
      </c>
      <c r="AX35" s="62">
        <f t="shared" si="43"/>
        <v>80.97744999999993</v>
      </c>
      <c r="AY35" s="62">
        <f t="shared" si="4"/>
        <v>68650140.64</v>
      </c>
      <c r="AZ35" s="62">
        <f t="shared" si="44"/>
        <v>66291105.5666</v>
      </c>
      <c r="BA35" s="62">
        <f t="shared" si="45"/>
        <v>68650140.64</v>
      </c>
      <c r="BB35" s="62">
        <f t="shared" si="5"/>
        <v>2356.52</v>
      </c>
      <c r="BC35" s="66">
        <f t="shared" si="6"/>
        <v>1.0355859968428187</v>
      </c>
      <c r="BD35" s="66">
        <f t="shared" si="46"/>
        <v>0.5</v>
      </c>
      <c r="BE35" s="62">
        <f t="shared" si="7"/>
        <v>68887378.93</v>
      </c>
      <c r="BF35" s="62">
        <f t="shared" si="8"/>
        <v>2364.66</v>
      </c>
      <c r="BG35" s="66">
        <f t="shared" si="47"/>
        <v>0.5009</v>
      </c>
      <c r="BH35" s="62">
        <f t="shared" si="48"/>
        <v>137537519.57</v>
      </c>
      <c r="BI35" s="62">
        <f t="shared" si="9"/>
        <v>4721.18</v>
      </c>
      <c r="BJ35" s="61">
        <v>30450</v>
      </c>
      <c r="BK35" s="7">
        <v>28</v>
      </c>
      <c r="BL35" s="61" t="s">
        <v>30</v>
      </c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1:164" s="7" customFormat="1" ht="12.75">
      <c r="A36" s="60">
        <v>29</v>
      </c>
      <c r="B36" s="61" t="s">
        <v>31</v>
      </c>
      <c r="C36" s="61">
        <v>15142</v>
      </c>
      <c r="D36" s="61">
        <v>8320</v>
      </c>
      <c r="E36" s="62">
        <f t="shared" si="10"/>
        <v>4387642</v>
      </c>
      <c r="F36" s="63">
        <f t="shared" si="49"/>
        <v>1414</v>
      </c>
      <c r="G36" s="61">
        <v>4313</v>
      </c>
      <c r="H36" s="62">
        <f t="shared" si="11"/>
        <v>670248</v>
      </c>
      <c r="I36" s="61">
        <f t="shared" si="12"/>
        <v>216</v>
      </c>
      <c r="J36" s="61">
        <v>2199</v>
      </c>
      <c r="K36" s="62">
        <f t="shared" si="13"/>
        <v>10236797</v>
      </c>
      <c r="L36" s="61">
        <f t="shared" si="14"/>
        <v>3299</v>
      </c>
      <c r="M36" s="61">
        <v>199</v>
      </c>
      <c r="N36" s="62">
        <f t="shared" si="15"/>
        <v>369257</v>
      </c>
      <c r="O36" s="61">
        <f t="shared" si="16"/>
        <v>119</v>
      </c>
      <c r="P36" s="61">
        <f t="shared" si="17"/>
        <v>0</v>
      </c>
      <c r="Q36" s="58">
        <f t="shared" si="18"/>
        <v>0</v>
      </c>
      <c r="R36" s="62">
        <f t="shared" si="19"/>
        <v>0</v>
      </c>
      <c r="S36" s="61">
        <f t="shared" si="20"/>
        <v>0</v>
      </c>
      <c r="T36" s="61">
        <f t="shared" si="21"/>
        <v>5048</v>
      </c>
      <c r="U36" s="61">
        <f t="shared" si="22"/>
        <v>20190</v>
      </c>
      <c r="V36" s="62">
        <f t="shared" si="23"/>
        <v>3103</v>
      </c>
      <c r="W36" s="62">
        <f t="shared" si="24"/>
        <v>62649570</v>
      </c>
      <c r="X36" s="65">
        <f>'Tables 6-8 Local Wealth'!M36</f>
        <v>0.81827134</v>
      </c>
      <c r="Y36" s="65">
        <f t="shared" si="25"/>
        <v>0.02056404</v>
      </c>
      <c r="Z36" s="65">
        <f t="shared" si="26"/>
        <v>0.01682696</v>
      </c>
      <c r="AA36" s="62">
        <f t="shared" si="0"/>
        <v>17942517.389793385</v>
      </c>
      <c r="AB36" s="66">
        <f t="shared" si="27"/>
        <v>0.2864</v>
      </c>
      <c r="AC36" s="67">
        <f t="shared" si="28"/>
        <v>44707052.61020662</v>
      </c>
      <c r="AD36" s="66">
        <f t="shared" si="29"/>
        <v>0.7136</v>
      </c>
      <c r="AE36" s="62">
        <f>'Tables 6-8 Local Wealth'!BI36</f>
        <v>30689673.5</v>
      </c>
      <c r="AF36" s="62">
        <f t="shared" si="30"/>
        <v>12747156.110206615</v>
      </c>
      <c r="AG36" s="70">
        <f t="shared" si="31"/>
        <v>0</v>
      </c>
      <c r="AH36" s="62">
        <f t="shared" si="32"/>
        <v>20674358</v>
      </c>
      <c r="AI36" s="62">
        <f t="shared" si="33"/>
        <v>12747156.110206615</v>
      </c>
      <c r="AJ36" s="67">
        <f t="shared" si="34"/>
        <v>6488776.603313842</v>
      </c>
      <c r="AK36" s="66">
        <f t="shared" si="35"/>
        <v>0.509037196</v>
      </c>
      <c r="AL36" s="62">
        <f t="shared" si="36"/>
        <v>4035240.622106326</v>
      </c>
      <c r="AM36" s="62">
        <f t="shared" si="37"/>
        <v>19235932.713520456</v>
      </c>
      <c r="AN36" s="62">
        <f t="shared" si="38"/>
        <v>51195829.21352046</v>
      </c>
      <c r="AO36" s="62">
        <f t="shared" si="39"/>
        <v>3381.04803</v>
      </c>
      <c r="AP36" s="62">
        <v>50771391.3515</v>
      </c>
      <c r="AQ36" s="57">
        <f>'[1]Table 4 Formula'!$C36</f>
        <v>15348</v>
      </c>
      <c r="AR36" s="62">
        <f t="shared" si="40"/>
        <v>3308.01</v>
      </c>
      <c r="AS36" s="66">
        <f t="shared" si="1"/>
        <v>0.9783978135323917</v>
      </c>
      <c r="AT36" s="163">
        <f t="shared" si="41"/>
        <v>424437.86202046275</v>
      </c>
      <c r="AU36" s="62">
        <f t="shared" si="2"/>
        <v>424437.9188</v>
      </c>
      <c r="AV36" s="62">
        <f t="shared" si="42"/>
        <v>0</v>
      </c>
      <c r="AW36" s="61">
        <f t="shared" si="3"/>
        <v>0</v>
      </c>
      <c r="AX36" s="62">
        <f t="shared" si="43"/>
        <v>0</v>
      </c>
      <c r="AY36" s="62">
        <f t="shared" si="4"/>
        <v>50089887.42</v>
      </c>
      <c r="AZ36" s="62">
        <f t="shared" si="44"/>
        <v>51195829.2703</v>
      </c>
      <c r="BA36" s="62">
        <f t="shared" si="45"/>
        <v>51195829.2703</v>
      </c>
      <c r="BB36" s="62">
        <f t="shared" si="5"/>
        <v>3381.05</v>
      </c>
      <c r="BC36" s="66">
        <f t="shared" si="6"/>
        <v>1.0000005826595726</v>
      </c>
      <c r="BD36" s="66">
        <f t="shared" si="46"/>
        <v>0.63</v>
      </c>
      <c r="BE36" s="62">
        <f t="shared" si="7"/>
        <v>30689673.5</v>
      </c>
      <c r="BF36" s="62">
        <f t="shared" si="8"/>
        <v>2026.79</v>
      </c>
      <c r="BG36" s="66">
        <f t="shared" si="47"/>
        <v>0.3748</v>
      </c>
      <c r="BH36" s="62">
        <f t="shared" si="48"/>
        <v>81885502.77</v>
      </c>
      <c r="BI36" s="62">
        <f t="shared" si="9"/>
        <v>5407.84</v>
      </c>
      <c r="BJ36" s="61">
        <v>15938</v>
      </c>
      <c r="BK36" s="7">
        <v>29</v>
      </c>
      <c r="BL36" s="61" t="s">
        <v>31</v>
      </c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</row>
    <row r="37" spans="1:164" s="92" customFormat="1" ht="12.75">
      <c r="A37" s="83">
        <v>30</v>
      </c>
      <c r="B37" s="84" t="s">
        <v>32</v>
      </c>
      <c r="C37" s="84">
        <v>2600</v>
      </c>
      <c r="D37" s="84">
        <v>1267</v>
      </c>
      <c r="E37" s="85">
        <f t="shared" si="10"/>
        <v>667145</v>
      </c>
      <c r="F37" s="86">
        <f t="shared" si="49"/>
        <v>215</v>
      </c>
      <c r="G37" s="84">
        <v>956</v>
      </c>
      <c r="H37" s="85">
        <f t="shared" si="11"/>
        <v>148944</v>
      </c>
      <c r="I37" s="84">
        <f t="shared" si="12"/>
        <v>48</v>
      </c>
      <c r="J37" s="84">
        <v>227</v>
      </c>
      <c r="K37" s="85">
        <f t="shared" si="13"/>
        <v>1058123</v>
      </c>
      <c r="L37" s="84">
        <f t="shared" si="14"/>
        <v>341</v>
      </c>
      <c r="M37" s="84">
        <v>29</v>
      </c>
      <c r="N37" s="85">
        <f t="shared" si="15"/>
        <v>52751</v>
      </c>
      <c r="O37" s="84">
        <f t="shared" si="16"/>
        <v>17</v>
      </c>
      <c r="P37" s="84">
        <f t="shared" si="17"/>
        <v>4900</v>
      </c>
      <c r="Q37" s="87">
        <f t="shared" si="18"/>
        <v>0.13067</v>
      </c>
      <c r="R37" s="85">
        <f t="shared" si="19"/>
        <v>1055020</v>
      </c>
      <c r="S37" s="84">
        <f t="shared" si="20"/>
        <v>340</v>
      </c>
      <c r="T37" s="84">
        <f t="shared" si="21"/>
        <v>961</v>
      </c>
      <c r="U37" s="61">
        <f t="shared" si="22"/>
        <v>3561</v>
      </c>
      <c r="V37" s="85">
        <f t="shared" si="23"/>
        <v>3103</v>
      </c>
      <c r="W37" s="85">
        <f t="shared" si="24"/>
        <v>11049783</v>
      </c>
      <c r="X37" s="89">
        <f>'Tables 6-8 Local Wealth'!M37</f>
        <v>0.6396937</v>
      </c>
      <c r="Y37" s="89">
        <f t="shared" si="25"/>
        <v>0.00362697</v>
      </c>
      <c r="Z37" s="89">
        <f t="shared" si="26"/>
        <v>0.00232015</v>
      </c>
      <c r="AA37" s="85">
        <f t="shared" si="0"/>
        <v>2473966.2851714822</v>
      </c>
      <c r="AB37" s="90">
        <f t="shared" si="27"/>
        <v>0.2239</v>
      </c>
      <c r="AC37" s="91">
        <f t="shared" si="28"/>
        <v>8575816.714828517</v>
      </c>
      <c r="AD37" s="90">
        <f t="shared" si="29"/>
        <v>0.7761</v>
      </c>
      <c r="AE37" s="85">
        <f>'Tables 6-8 Local Wealth'!BI37</f>
        <v>4644853</v>
      </c>
      <c r="AF37" s="85">
        <f t="shared" si="30"/>
        <v>2170886.7148285178</v>
      </c>
      <c r="AG37" s="104">
        <f t="shared" si="31"/>
        <v>0</v>
      </c>
      <c r="AH37" s="85">
        <f t="shared" si="32"/>
        <v>3646428</v>
      </c>
      <c r="AI37" s="85">
        <f t="shared" si="33"/>
        <v>2170886.7148285178</v>
      </c>
      <c r="AJ37" s="91">
        <f t="shared" si="34"/>
        <v>1337665.1818948183</v>
      </c>
      <c r="AK37" s="90">
        <f t="shared" si="35"/>
        <v>0.6161837800000001</v>
      </c>
      <c r="AL37" s="85">
        <f t="shared" si="36"/>
        <v>909204.606643022</v>
      </c>
      <c r="AM37" s="85">
        <f t="shared" si="37"/>
        <v>3508551.896723336</v>
      </c>
      <c r="AN37" s="85">
        <f t="shared" si="38"/>
        <v>9913481.896723336</v>
      </c>
      <c r="AO37" s="85">
        <f t="shared" si="39"/>
        <v>3812.87765</v>
      </c>
      <c r="AP37" s="85">
        <v>9275482.728</v>
      </c>
      <c r="AQ37" s="100">
        <f>'[1]Table 4 Formula'!$C37</f>
        <v>2610</v>
      </c>
      <c r="AR37" s="85">
        <f t="shared" si="40"/>
        <v>3553.82</v>
      </c>
      <c r="AS37" s="90">
        <f t="shared" si="1"/>
        <v>0.9320571825849172</v>
      </c>
      <c r="AT37" s="164">
        <f t="shared" si="41"/>
        <v>637999.1687233355</v>
      </c>
      <c r="AU37" s="85">
        <f t="shared" si="2"/>
        <v>637999.162</v>
      </c>
      <c r="AV37" s="85">
        <f t="shared" si="42"/>
        <v>0</v>
      </c>
      <c r="AW37" s="84">
        <f t="shared" si="3"/>
        <v>0</v>
      </c>
      <c r="AX37" s="85">
        <f t="shared" si="43"/>
        <v>0</v>
      </c>
      <c r="AY37" s="85">
        <f t="shared" si="4"/>
        <v>9239932</v>
      </c>
      <c r="AZ37" s="85">
        <f t="shared" si="44"/>
        <v>9913481.89</v>
      </c>
      <c r="BA37" s="85">
        <f t="shared" si="45"/>
        <v>9913481.89</v>
      </c>
      <c r="BB37" s="85">
        <f t="shared" si="5"/>
        <v>3812.88</v>
      </c>
      <c r="BC37" s="90">
        <f t="shared" si="6"/>
        <v>1.0000006163323913</v>
      </c>
      <c r="BD37" s="90">
        <f t="shared" si="46"/>
        <v>0.68</v>
      </c>
      <c r="BE37" s="85">
        <f t="shared" si="7"/>
        <v>4644853</v>
      </c>
      <c r="BF37" s="85">
        <f t="shared" si="8"/>
        <v>1786.48</v>
      </c>
      <c r="BG37" s="90">
        <f t="shared" si="47"/>
        <v>0.3191</v>
      </c>
      <c r="BH37" s="85">
        <f t="shared" si="48"/>
        <v>14558334.89</v>
      </c>
      <c r="BI37" s="85">
        <f t="shared" si="9"/>
        <v>5599.36</v>
      </c>
      <c r="BJ37" s="84">
        <v>2729</v>
      </c>
      <c r="BK37" s="92">
        <v>30</v>
      </c>
      <c r="BL37" s="84" t="s">
        <v>32</v>
      </c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1:164" s="7" customFormat="1" ht="12.75">
      <c r="A38" s="60">
        <v>31</v>
      </c>
      <c r="B38" s="61" t="s">
        <v>33</v>
      </c>
      <c r="C38" s="61">
        <v>6643</v>
      </c>
      <c r="D38" s="61">
        <v>3458</v>
      </c>
      <c r="E38" s="62">
        <f t="shared" si="10"/>
        <v>1824564</v>
      </c>
      <c r="F38" s="63">
        <f t="shared" si="49"/>
        <v>588</v>
      </c>
      <c r="G38" s="61">
        <v>2303</v>
      </c>
      <c r="H38" s="62">
        <f t="shared" si="11"/>
        <v>356845</v>
      </c>
      <c r="I38" s="61">
        <f t="shared" si="12"/>
        <v>115</v>
      </c>
      <c r="J38" s="61">
        <v>741</v>
      </c>
      <c r="K38" s="62">
        <f t="shared" si="13"/>
        <v>3450536</v>
      </c>
      <c r="L38" s="61">
        <f t="shared" si="14"/>
        <v>1112</v>
      </c>
      <c r="M38" s="61">
        <v>162</v>
      </c>
      <c r="N38" s="62">
        <f t="shared" si="15"/>
        <v>300991</v>
      </c>
      <c r="O38" s="61">
        <f t="shared" si="16"/>
        <v>97</v>
      </c>
      <c r="P38" s="61">
        <f t="shared" si="17"/>
        <v>857</v>
      </c>
      <c r="Q38" s="58">
        <f t="shared" si="18"/>
        <v>0.02285</v>
      </c>
      <c r="R38" s="62">
        <f t="shared" si="19"/>
        <v>471656</v>
      </c>
      <c r="S38" s="61">
        <f t="shared" si="20"/>
        <v>152</v>
      </c>
      <c r="T38" s="61">
        <f t="shared" si="21"/>
        <v>2064</v>
      </c>
      <c r="U38" s="189">
        <f t="shared" si="22"/>
        <v>8707</v>
      </c>
      <c r="V38" s="62">
        <f t="shared" si="23"/>
        <v>3103</v>
      </c>
      <c r="W38" s="62">
        <f t="shared" si="24"/>
        <v>27017821</v>
      </c>
      <c r="X38" s="65">
        <f>'Tables 6-8 Local Wealth'!M38</f>
        <v>0.94717392</v>
      </c>
      <c r="Y38" s="65">
        <f t="shared" si="25"/>
        <v>0.00886831</v>
      </c>
      <c r="Z38" s="65">
        <f t="shared" si="26"/>
        <v>0.00839983</v>
      </c>
      <c r="AA38" s="62">
        <f t="shared" si="0"/>
        <v>8956703.756727787</v>
      </c>
      <c r="AB38" s="66">
        <f t="shared" si="27"/>
        <v>0.3315</v>
      </c>
      <c r="AC38" s="67">
        <f t="shared" si="28"/>
        <v>18061117.243272215</v>
      </c>
      <c r="AD38" s="66">
        <f t="shared" si="29"/>
        <v>0.6685</v>
      </c>
      <c r="AE38" s="62">
        <f>'Tables 6-8 Local Wealth'!BI38</f>
        <v>13894812.5</v>
      </c>
      <c r="AF38" s="62">
        <f t="shared" si="30"/>
        <v>4938108.743272213</v>
      </c>
      <c r="AG38" s="70">
        <f t="shared" si="31"/>
        <v>0</v>
      </c>
      <c r="AH38" s="62">
        <f t="shared" si="32"/>
        <v>8915881</v>
      </c>
      <c r="AI38" s="62">
        <f t="shared" si="33"/>
        <v>4938108.743272213</v>
      </c>
      <c r="AJ38" s="67">
        <f t="shared" si="34"/>
        <v>2131760.053821364</v>
      </c>
      <c r="AK38" s="66">
        <f t="shared" si="35"/>
        <v>0.43169564800000004</v>
      </c>
      <c r="AL38" s="62">
        <f t="shared" si="36"/>
        <v>1717186.9719645246</v>
      </c>
      <c r="AM38" s="62">
        <f t="shared" si="37"/>
        <v>7069868.797093578</v>
      </c>
      <c r="AN38" s="62">
        <f t="shared" si="38"/>
        <v>20192877.297093578</v>
      </c>
      <c r="AO38" s="62">
        <f t="shared" si="39"/>
        <v>3039.72261</v>
      </c>
      <c r="AP38" s="62">
        <v>19357821.3836</v>
      </c>
      <c r="AQ38" s="57">
        <f>'[1]Table 4 Formula'!$C38</f>
        <v>6745</v>
      </c>
      <c r="AR38" s="62">
        <f t="shared" si="40"/>
        <v>2869.95</v>
      </c>
      <c r="AS38" s="66">
        <f t="shared" si="1"/>
        <v>0.9441486504586022</v>
      </c>
      <c r="AT38" s="163">
        <f t="shared" si="41"/>
        <v>835055.9134935774</v>
      </c>
      <c r="AU38" s="62">
        <f t="shared" si="2"/>
        <v>835055.9146</v>
      </c>
      <c r="AV38" s="62">
        <f t="shared" si="42"/>
        <v>0</v>
      </c>
      <c r="AW38" s="61">
        <f t="shared" si="3"/>
        <v>0</v>
      </c>
      <c r="AX38" s="62">
        <f t="shared" si="43"/>
        <v>0</v>
      </c>
      <c r="AY38" s="62">
        <f t="shared" si="4"/>
        <v>19065077.849999998</v>
      </c>
      <c r="AZ38" s="62">
        <f t="shared" si="44"/>
        <v>20192877.2982</v>
      </c>
      <c r="BA38" s="62">
        <f t="shared" si="45"/>
        <v>20192877.2982</v>
      </c>
      <c r="BB38" s="62">
        <f t="shared" si="5"/>
        <v>3039.72</v>
      </c>
      <c r="BC38" s="66">
        <f t="shared" si="6"/>
        <v>0.9999991413690211</v>
      </c>
      <c r="BD38" s="66">
        <f t="shared" si="46"/>
        <v>0.59</v>
      </c>
      <c r="BE38" s="62">
        <f t="shared" si="7"/>
        <v>13894812.5</v>
      </c>
      <c r="BF38" s="62">
        <f t="shared" si="8"/>
        <v>2091.65</v>
      </c>
      <c r="BG38" s="66">
        <f t="shared" si="47"/>
        <v>0.4076</v>
      </c>
      <c r="BH38" s="62">
        <f t="shared" si="48"/>
        <v>34087689.8</v>
      </c>
      <c r="BI38" s="62">
        <f t="shared" si="9"/>
        <v>5131.37</v>
      </c>
      <c r="BJ38" s="61">
        <v>6945</v>
      </c>
      <c r="BK38" s="7">
        <v>31</v>
      </c>
      <c r="BL38" s="61" t="s">
        <v>33</v>
      </c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</row>
    <row r="39" spans="1:164" s="7" customFormat="1" ht="12.75">
      <c r="A39" s="60">
        <v>32</v>
      </c>
      <c r="B39" s="61" t="s">
        <v>34</v>
      </c>
      <c r="C39" s="61">
        <v>19739</v>
      </c>
      <c r="D39" s="61">
        <v>7968</v>
      </c>
      <c r="E39" s="62">
        <f t="shared" si="10"/>
        <v>4204565</v>
      </c>
      <c r="F39" s="63">
        <f t="shared" si="49"/>
        <v>1355</v>
      </c>
      <c r="G39" s="61">
        <v>4469</v>
      </c>
      <c r="H39" s="62">
        <f t="shared" si="11"/>
        <v>691969</v>
      </c>
      <c r="I39" s="61">
        <f t="shared" si="12"/>
        <v>223</v>
      </c>
      <c r="J39" s="61">
        <v>1831</v>
      </c>
      <c r="K39" s="62">
        <f t="shared" si="13"/>
        <v>8523941</v>
      </c>
      <c r="L39" s="61">
        <f t="shared" si="14"/>
        <v>2747</v>
      </c>
      <c r="M39" s="61">
        <v>231</v>
      </c>
      <c r="N39" s="62">
        <f t="shared" si="15"/>
        <v>431317</v>
      </c>
      <c r="O39" s="61">
        <f t="shared" si="16"/>
        <v>139</v>
      </c>
      <c r="P39" s="61">
        <f t="shared" si="17"/>
        <v>0</v>
      </c>
      <c r="Q39" s="58">
        <f t="shared" si="18"/>
        <v>0</v>
      </c>
      <c r="R39" s="62">
        <f t="shared" si="19"/>
        <v>0</v>
      </c>
      <c r="S39" s="61">
        <f t="shared" si="20"/>
        <v>0</v>
      </c>
      <c r="T39" s="61">
        <f t="shared" si="21"/>
        <v>4464</v>
      </c>
      <c r="U39" s="61">
        <f t="shared" si="22"/>
        <v>24203</v>
      </c>
      <c r="V39" s="62">
        <f t="shared" si="23"/>
        <v>3103</v>
      </c>
      <c r="W39" s="62">
        <f t="shared" si="24"/>
        <v>75101909</v>
      </c>
      <c r="X39" s="65">
        <f>'Tables 6-8 Local Wealth'!M39</f>
        <v>0.40615841</v>
      </c>
      <c r="Y39" s="65">
        <f t="shared" si="25"/>
        <v>0.02465138</v>
      </c>
      <c r="Z39" s="65">
        <f t="shared" si="26"/>
        <v>0.01001237</v>
      </c>
      <c r="AA39" s="62">
        <f t="shared" si="0"/>
        <v>10676148.444998123</v>
      </c>
      <c r="AB39" s="66">
        <f t="shared" si="27"/>
        <v>0.1422</v>
      </c>
      <c r="AC39" s="67">
        <f t="shared" si="28"/>
        <v>64425760.55500188</v>
      </c>
      <c r="AD39" s="66">
        <f t="shared" si="29"/>
        <v>0.8578</v>
      </c>
      <c r="AE39" s="62">
        <f>'Tables 6-8 Local Wealth'!BI39</f>
        <v>22310655</v>
      </c>
      <c r="AF39" s="62">
        <f t="shared" si="30"/>
        <v>11634506.555001877</v>
      </c>
      <c r="AG39" s="70">
        <f t="shared" si="31"/>
        <v>0</v>
      </c>
      <c r="AH39" s="62">
        <f t="shared" si="32"/>
        <v>24783630</v>
      </c>
      <c r="AI39" s="62">
        <f t="shared" si="33"/>
        <v>11634506.555001877</v>
      </c>
      <c r="AJ39" s="67">
        <f t="shared" si="34"/>
        <v>8799234.944893394</v>
      </c>
      <c r="AK39" s="66">
        <f t="shared" si="35"/>
        <v>0.7563049540000001</v>
      </c>
      <c r="AL39" s="62">
        <f t="shared" si="36"/>
        <v>9944747.202209625</v>
      </c>
      <c r="AM39" s="62">
        <f t="shared" si="37"/>
        <v>20433741.49989527</v>
      </c>
      <c r="AN39" s="62">
        <f t="shared" si="38"/>
        <v>73224995.49989527</v>
      </c>
      <c r="AO39" s="62">
        <f t="shared" si="39"/>
        <v>3709.66085</v>
      </c>
      <c r="AP39" s="62">
        <v>70466419.7615</v>
      </c>
      <c r="AQ39" s="57">
        <f>'[1]Table 4 Formula'!$C39</f>
        <v>19421</v>
      </c>
      <c r="AR39" s="62">
        <f t="shared" si="40"/>
        <v>3628.36</v>
      </c>
      <c r="AS39" s="66">
        <f t="shared" si="1"/>
        <v>0.9780840208074546</v>
      </c>
      <c r="AT39" s="163">
        <f t="shared" si="41"/>
        <v>2758575.7383952737</v>
      </c>
      <c r="AU39" s="62">
        <f t="shared" si="2"/>
        <v>2758575.7567</v>
      </c>
      <c r="AV39" s="62">
        <f t="shared" si="42"/>
        <v>0</v>
      </c>
      <c r="AW39" s="61">
        <f t="shared" si="3"/>
        <v>0</v>
      </c>
      <c r="AX39" s="62">
        <f t="shared" si="43"/>
        <v>0</v>
      </c>
      <c r="AY39" s="62">
        <f t="shared" si="4"/>
        <v>70466419.7615</v>
      </c>
      <c r="AZ39" s="62">
        <f t="shared" si="44"/>
        <v>73224995.5182</v>
      </c>
      <c r="BA39" s="62">
        <f t="shared" si="45"/>
        <v>73224995.5182</v>
      </c>
      <c r="BB39" s="62">
        <f t="shared" si="5"/>
        <v>3709.66</v>
      </c>
      <c r="BC39" s="66">
        <f t="shared" si="6"/>
        <v>0.9999997708685417</v>
      </c>
      <c r="BD39" s="66">
        <f t="shared" si="46"/>
        <v>0.77</v>
      </c>
      <c r="BE39" s="62">
        <f t="shared" si="7"/>
        <v>22310655</v>
      </c>
      <c r="BF39" s="62">
        <f t="shared" si="8"/>
        <v>1130.28</v>
      </c>
      <c r="BG39" s="66">
        <f t="shared" si="47"/>
        <v>0.2335</v>
      </c>
      <c r="BH39" s="62">
        <f t="shared" si="48"/>
        <v>95535650.52</v>
      </c>
      <c r="BI39" s="62">
        <f t="shared" si="9"/>
        <v>4839.94</v>
      </c>
      <c r="BJ39" s="61">
        <v>18754</v>
      </c>
      <c r="BK39" s="7">
        <v>32</v>
      </c>
      <c r="BL39" s="61" t="s">
        <v>34</v>
      </c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</row>
    <row r="40" spans="1:164" s="7" customFormat="1" ht="12.75">
      <c r="A40" s="60">
        <v>33</v>
      </c>
      <c r="B40" s="61" t="s">
        <v>35</v>
      </c>
      <c r="C40" s="61">
        <v>2489</v>
      </c>
      <c r="D40" s="61">
        <v>2081</v>
      </c>
      <c r="E40" s="62">
        <f t="shared" si="10"/>
        <v>1098462</v>
      </c>
      <c r="F40" s="63">
        <f t="shared" si="49"/>
        <v>354</v>
      </c>
      <c r="G40" s="61">
        <v>599</v>
      </c>
      <c r="H40" s="62">
        <f t="shared" si="11"/>
        <v>93090</v>
      </c>
      <c r="I40" s="61">
        <f t="shared" si="12"/>
        <v>30</v>
      </c>
      <c r="J40" s="61">
        <v>266</v>
      </c>
      <c r="K40" s="62">
        <f t="shared" si="13"/>
        <v>1238097</v>
      </c>
      <c r="L40" s="61">
        <f t="shared" si="14"/>
        <v>399</v>
      </c>
      <c r="M40" s="61">
        <v>18</v>
      </c>
      <c r="N40" s="62">
        <f t="shared" si="15"/>
        <v>34133</v>
      </c>
      <c r="O40" s="61">
        <f t="shared" si="16"/>
        <v>11</v>
      </c>
      <c r="P40" s="61">
        <f t="shared" si="17"/>
        <v>5011</v>
      </c>
      <c r="Q40" s="58">
        <f t="shared" si="18"/>
        <v>0.13363</v>
      </c>
      <c r="R40" s="62">
        <f t="shared" si="19"/>
        <v>1033299</v>
      </c>
      <c r="S40" s="61">
        <f t="shared" si="20"/>
        <v>333</v>
      </c>
      <c r="T40" s="61">
        <f t="shared" si="21"/>
        <v>1127</v>
      </c>
      <c r="U40" s="61">
        <f t="shared" si="22"/>
        <v>3616</v>
      </c>
      <c r="V40" s="62">
        <f t="shared" si="23"/>
        <v>3103</v>
      </c>
      <c r="W40" s="62">
        <f t="shared" si="24"/>
        <v>11220448</v>
      </c>
      <c r="X40" s="65">
        <f>'Tables 6-8 Local Wealth'!M40</f>
        <v>0.5250866</v>
      </c>
      <c r="Y40" s="65">
        <f t="shared" si="25"/>
        <v>0.00368299</v>
      </c>
      <c r="Z40" s="65">
        <f t="shared" si="26"/>
        <v>0.00193389</v>
      </c>
      <c r="AA40" s="62">
        <f aca="true" t="shared" si="50" ref="AA40:AA71">IF(W$75*Z40*AA$4&lt;W40,W$75*Z40*AA$4,W40)</f>
        <v>2062098.8553456792</v>
      </c>
      <c r="AB40" s="66">
        <f t="shared" si="27"/>
        <v>0.1838</v>
      </c>
      <c r="AC40" s="67">
        <f t="shared" si="28"/>
        <v>9158349.14465432</v>
      </c>
      <c r="AD40" s="66">
        <f t="shared" si="29"/>
        <v>0.8162</v>
      </c>
      <c r="AE40" s="62">
        <f>'Tables 6-8 Local Wealth'!BI40</f>
        <v>1762280.5</v>
      </c>
      <c r="AF40" s="62">
        <f t="shared" si="30"/>
        <v>0</v>
      </c>
      <c r="AG40" s="70">
        <f t="shared" si="31"/>
        <v>-299818.3553456792</v>
      </c>
      <c r="AH40" s="62">
        <f t="shared" si="32"/>
        <v>3702748</v>
      </c>
      <c r="AI40" s="62">
        <f t="shared" si="33"/>
        <v>0</v>
      </c>
      <c r="AJ40" s="67">
        <f t="shared" si="34"/>
        <v>0</v>
      </c>
      <c r="AK40" s="66">
        <f t="shared" si="35"/>
        <v>0</v>
      </c>
      <c r="AL40" s="62">
        <f t="shared" si="36"/>
        <v>2536189.9852139205</v>
      </c>
      <c r="AM40" s="62">
        <f t="shared" si="37"/>
        <v>0</v>
      </c>
      <c r="AN40" s="62">
        <f t="shared" si="38"/>
        <v>9158349.14465432</v>
      </c>
      <c r="AO40" s="62">
        <f t="shared" si="39"/>
        <v>3679.52959</v>
      </c>
      <c r="AP40" s="62">
        <v>9167291.2782</v>
      </c>
      <c r="AQ40" s="57">
        <f>'[1]Table 4 Formula'!$C40</f>
        <v>2547</v>
      </c>
      <c r="AR40" s="62">
        <f t="shared" si="40"/>
        <v>3599.25</v>
      </c>
      <c r="AS40" s="66">
        <f aca="true" t="shared" si="51" ref="AS40:AS71">IF(AO40&gt;0,AR40/AO40,0)</f>
        <v>0.9781821050663163</v>
      </c>
      <c r="AT40" s="163">
        <f t="shared" si="41"/>
        <v>0</v>
      </c>
      <c r="AU40" s="62">
        <f aca="true" t="shared" si="52" ref="AU40:AU73">ROUND(BA40-AP40,4)</f>
        <v>-8942.1287</v>
      </c>
      <c r="AV40" s="62">
        <f t="shared" si="42"/>
        <v>0</v>
      </c>
      <c r="AW40" s="61">
        <f aca="true" t="shared" si="53" ref="AW40:AW71">IF(AV40&gt;0,C40,0)</f>
        <v>0</v>
      </c>
      <c r="AX40" s="62">
        <f t="shared" si="43"/>
        <v>0</v>
      </c>
      <c r="AY40" s="62">
        <f aca="true" t="shared" si="54" ref="AY40:AY73">IF((AR40*C40)&gt;AP40,AP40,AR40*C40)</f>
        <v>8958533.25</v>
      </c>
      <c r="AZ40" s="62">
        <f t="shared" si="44"/>
        <v>9158349.1495</v>
      </c>
      <c r="BA40" s="62">
        <f t="shared" si="45"/>
        <v>9158349.1495</v>
      </c>
      <c r="BB40" s="62">
        <f aca="true" t="shared" si="55" ref="BB40:BB71">ROUND(BA40/C40,2)</f>
        <v>3679.53</v>
      </c>
      <c r="BC40" s="66">
        <f aca="true" t="shared" si="56" ref="BC40:BC71">IF(AO40&gt;0,BB40/AO40,0)</f>
        <v>1.0000001114272872</v>
      </c>
      <c r="BD40" s="66">
        <f t="shared" si="46"/>
        <v>0.82</v>
      </c>
      <c r="BE40" s="62">
        <f aca="true" t="shared" si="57" ref="BE40:BE73">ROUND(AA40+AI40-AV40,2)</f>
        <v>2062098.86</v>
      </c>
      <c r="BF40" s="62">
        <f aca="true" t="shared" si="58" ref="BF40:BF71">ROUND(BE40/C40,2)</f>
        <v>828.48</v>
      </c>
      <c r="BG40" s="66">
        <f t="shared" si="47"/>
        <v>0.1838</v>
      </c>
      <c r="BH40" s="62">
        <f t="shared" si="48"/>
        <v>11220448.01</v>
      </c>
      <c r="BI40" s="62">
        <f aca="true" t="shared" si="59" ref="BI40:BI71">ROUND(BH40/C40,2)</f>
        <v>4508.01</v>
      </c>
      <c r="BJ40" s="61">
        <v>3208</v>
      </c>
      <c r="BK40" s="7">
        <v>33</v>
      </c>
      <c r="BL40" s="61" t="s">
        <v>35</v>
      </c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</row>
    <row r="41" spans="1:164" s="7" customFormat="1" ht="12.75">
      <c r="A41" s="60">
        <v>34</v>
      </c>
      <c r="B41" s="61" t="s">
        <v>36</v>
      </c>
      <c r="C41" s="61">
        <v>5308</v>
      </c>
      <c r="D41" s="61">
        <v>3808</v>
      </c>
      <c r="E41" s="62">
        <f t="shared" si="10"/>
        <v>2007641</v>
      </c>
      <c r="F41" s="63">
        <f t="shared" si="49"/>
        <v>647</v>
      </c>
      <c r="G41" s="61">
        <v>964</v>
      </c>
      <c r="H41" s="62">
        <f t="shared" si="11"/>
        <v>148944</v>
      </c>
      <c r="I41" s="61">
        <f t="shared" si="12"/>
        <v>48</v>
      </c>
      <c r="J41" s="61">
        <v>849</v>
      </c>
      <c r="K41" s="62">
        <f t="shared" si="13"/>
        <v>3953222</v>
      </c>
      <c r="L41" s="61">
        <f t="shared" si="14"/>
        <v>1274</v>
      </c>
      <c r="M41" s="61">
        <v>72</v>
      </c>
      <c r="N41" s="62">
        <f t="shared" si="15"/>
        <v>133429</v>
      </c>
      <c r="O41" s="61">
        <f t="shared" si="16"/>
        <v>43</v>
      </c>
      <c r="P41" s="61">
        <f t="shared" si="17"/>
        <v>2192</v>
      </c>
      <c r="Q41" s="58">
        <f t="shared" si="18"/>
        <v>0.05845</v>
      </c>
      <c r="R41" s="62">
        <f t="shared" si="19"/>
        <v>961930</v>
      </c>
      <c r="S41" s="61">
        <f t="shared" si="20"/>
        <v>310</v>
      </c>
      <c r="T41" s="61">
        <f t="shared" si="21"/>
        <v>2322</v>
      </c>
      <c r="U41" s="61">
        <f t="shared" si="22"/>
        <v>7630</v>
      </c>
      <c r="V41" s="62">
        <f t="shared" si="23"/>
        <v>3103</v>
      </c>
      <c r="W41" s="62">
        <f t="shared" si="24"/>
        <v>23675890</v>
      </c>
      <c r="X41" s="65">
        <f>'Tables 6-8 Local Wealth'!M41</f>
        <v>0.71483185</v>
      </c>
      <c r="Y41" s="65">
        <f t="shared" si="25"/>
        <v>0.00777135</v>
      </c>
      <c r="Z41" s="65">
        <f t="shared" si="26"/>
        <v>0.00555521</v>
      </c>
      <c r="AA41" s="62">
        <f t="shared" si="50"/>
        <v>5923497.294160925</v>
      </c>
      <c r="AB41" s="66">
        <f t="shared" si="27"/>
        <v>0.2502</v>
      </c>
      <c r="AC41" s="67">
        <f t="shared" si="28"/>
        <v>17752392.705839075</v>
      </c>
      <c r="AD41" s="66">
        <f t="shared" si="29"/>
        <v>0.7498</v>
      </c>
      <c r="AE41" s="62">
        <f>'Tables 6-8 Local Wealth'!BI41</f>
        <v>7306503</v>
      </c>
      <c r="AF41" s="62">
        <f t="shared" si="30"/>
        <v>1383005.7058390751</v>
      </c>
      <c r="AG41" s="70">
        <f t="shared" si="31"/>
        <v>0</v>
      </c>
      <c r="AH41" s="62">
        <f t="shared" si="32"/>
        <v>7813044</v>
      </c>
      <c r="AI41" s="62">
        <f t="shared" si="33"/>
        <v>1383005.7058390751</v>
      </c>
      <c r="AJ41" s="67">
        <f t="shared" si="34"/>
        <v>789835.789479774</v>
      </c>
      <c r="AK41" s="66">
        <f t="shared" si="35"/>
        <v>0.57110089</v>
      </c>
      <c r="AL41" s="62">
        <f t="shared" si="36"/>
        <v>3672200.592529386</v>
      </c>
      <c r="AM41" s="62">
        <f t="shared" si="37"/>
        <v>2172841.495318849</v>
      </c>
      <c r="AN41" s="62">
        <f t="shared" si="38"/>
        <v>18542228.49531885</v>
      </c>
      <c r="AO41" s="62">
        <f t="shared" si="39"/>
        <v>3493.26083</v>
      </c>
      <c r="AP41" s="62">
        <v>17929446.0287</v>
      </c>
      <c r="AQ41" s="57">
        <f>'[1]Table 4 Formula'!$C41</f>
        <v>5421</v>
      </c>
      <c r="AR41" s="62">
        <f t="shared" si="40"/>
        <v>3307.41</v>
      </c>
      <c r="AS41" s="66">
        <f t="shared" si="51"/>
        <v>0.9467973223173259</v>
      </c>
      <c r="AT41" s="163">
        <f t="shared" si="41"/>
        <v>612782.4666188471</v>
      </c>
      <c r="AU41" s="62">
        <f t="shared" si="52"/>
        <v>612782.4569</v>
      </c>
      <c r="AV41" s="62">
        <f t="shared" si="42"/>
        <v>0</v>
      </c>
      <c r="AW41" s="61">
        <f t="shared" si="53"/>
        <v>0</v>
      </c>
      <c r="AX41" s="62">
        <f t="shared" si="43"/>
        <v>0</v>
      </c>
      <c r="AY41" s="62">
        <f t="shared" si="54"/>
        <v>17555732.279999997</v>
      </c>
      <c r="AZ41" s="62">
        <f t="shared" si="44"/>
        <v>18542228.4856</v>
      </c>
      <c r="BA41" s="62">
        <f t="shared" si="45"/>
        <v>18542228.4856</v>
      </c>
      <c r="BB41" s="62">
        <f t="shared" si="55"/>
        <v>3493.26</v>
      </c>
      <c r="BC41" s="66">
        <f t="shared" si="56"/>
        <v>0.9999997623996488</v>
      </c>
      <c r="BD41" s="66">
        <f t="shared" si="46"/>
        <v>0.72</v>
      </c>
      <c r="BE41" s="62">
        <f t="shared" si="57"/>
        <v>7306503</v>
      </c>
      <c r="BF41" s="62">
        <f t="shared" si="58"/>
        <v>1376.51</v>
      </c>
      <c r="BG41" s="66">
        <f t="shared" si="47"/>
        <v>0.2827</v>
      </c>
      <c r="BH41" s="62">
        <f t="shared" si="48"/>
        <v>25848731.49</v>
      </c>
      <c r="BI41" s="62">
        <f t="shared" si="59"/>
        <v>4869.77</v>
      </c>
      <c r="BJ41" s="61">
        <v>5595</v>
      </c>
      <c r="BK41" s="7">
        <v>34</v>
      </c>
      <c r="BL41" s="61" t="s">
        <v>36</v>
      </c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</row>
    <row r="42" spans="1:164" s="92" customFormat="1" ht="12.75">
      <c r="A42" s="83">
        <v>35</v>
      </c>
      <c r="B42" s="84" t="s">
        <v>37</v>
      </c>
      <c r="C42" s="84">
        <v>6781</v>
      </c>
      <c r="D42" s="84">
        <v>4506</v>
      </c>
      <c r="E42" s="85">
        <f t="shared" si="10"/>
        <v>2376898</v>
      </c>
      <c r="F42" s="86">
        <f t="shared" si="49"/>
        <v>766</v>
      </c>
      <c r="G42" s="84">
        <v>2011</v>
      </c>
      <c r="H42" s="85">
        <f t="shared" si="11"/>
        <v>313403</v>
      </c>
      <c r="I42" s="84">
        <f t="shared" si="12"/>
        <v>101</v>
      </c>
      <c r="J42" s="84">
        <v>842</v>
      </c>
      <c r="K42" s="85">
        <f t="shared" si="13"/>
        <v>3919089</v>
      </c>
      <c r="L42" s="84">
        <f t="shared" si="14"/>
        <v>1263</v>
      </c>
      <c r="M42" s="84">
        <v>294</v>
      </c>
      <c r="N42" s="85">
        <f t="shared" si="15"/>
        <v>546128</v>
      </c>
      <c r="O42" s="84">
        <f t="shared" si="16"/>
        <v>176</v>
      </c>
      <c r="P42" s="84">
        <f t="shared" si="17"/>
        <v>719</v>
      </c>
      <c r="Q42" s="87">
        <f t="shared" si="18"/>
        <v>0.01917</v>
      </c>
      <c r="R42" s="85">
        <f t="shared" si="19"/>
        <v>403390</v>
      </c>
      <c r="S42" s="84">
        <f t="shared" si="20"/>
        <v>130</v>
      </c>
      <c r="T42" s="84">
        <f t="shared" si="21"/>
        <v>2436</v>
      </c>
      <c r="U42" s="61">
        <f t="shared" si="22"/>
        <v>9217</v>
      </c>
      <c r="V42" s="85">
        <f t="shared" si="23"/>
        <v>3103</v>
      </c>
      <c r="W42" s="85">
        <f t="shared" si="24"/>
        <v>28600351</v>
      </c>
      <c r="X42" s="89">
        <f>'Tables 6-8 Local Wealth'!M42</f>
        <v>0.778785</v>
      </c>
      <c r="Y42" s="89">
        <f t="shared" si="25"/>
        <v>0.00938775</v>
      </c>
      <c r="Z42" s="89">
        <f t="shared" si="26"/>
        <v>0.00731104</v>
      </c>
      <c r="AA42" s="85">
        <f t="shared" si="50"/>
        <v>7795731.512850512</v>
      </c>
      <c r="AB42" s="90">
        <f t="shared" si="27"/>
        <v>0.2726</v>
      </c>
      <c r="AC42" s="91">
        <f t="shared" si="28"/>
        <v>20804619.48714949</v>
      </c>
      <c r="AD42" s="90">
        <f t="shared" si="29"/>
        <v>0.7274</v>
      </c>
      <c r="AE42" s="85">
        <f>'Tables 6-8 Local Wealth'!BI42</f>
        <v>12058158.5</v>
      </c>
      <c r="AF42" s="85">
        <f t="shared" si="30"/>
        <v>4262426.987149488</v>
      </c>
      <c r="AG42" s="104">
        <f t="shared" si="31"/>
        <v>0</v>
      </c>
      <c r="AH42" s="85">
        <f t="shared" si="32"/>
        <v>9438116</v>
      </c>
      <c r="AI42" s="85">
        <f t="shared" si="33"/>
        <v>4262426.987149488</v>
      </c>
      <c r="AJ42" s="91">
        <f t="shared" si="34"/>
        <v>2270718.4664371596</v>
      </c>
      <c r="AK42" s="90">
        <f t="shared" si="35"/>
        <v>0.532729</v>
      </c>
      <c r="AL42" s="85">
        <f t="shared" si="36"/>
        <v>2757239.6321268403</v>
      </c>
      <c r="AM42" s="85">
        <f t="shared" si="37"/>
        <v>6533145.453586647</v>
      </c>
      <c r="AN42" s="85">
        <f t="shared" si="38"/>
        <v>23075337.95358665</v>
      </c>
      <c r="AO42" s="85">
        <f t="shared" si="39"/>
        <v>3402.94027</v>
      </c>
      <c r="AP42" s="85">
        <v>22625404.8515</v>
      </c>
      <c r="AQ42" s="100">
        <f>'[1]Table 4 Formula'!$C42</f>
        <v>6823</v>
      </c>
      <c r="AR42" s="85">
        <f t="shared" si="40"/>
        <v>3316.05</v>
      </c>
      <c r="AS42" s="90">
        <f t="shared" si="51"/>
        <v>0.9744661195596007</v>
      </c>
      <c r="AT42" s="164">
        <f t="shared" si="41"/>
        <v>449933.10208664834</v>
      </c>
      <c r="AU42" s="85">
        <f t="shared" si="52"/>
        <v>449933.1194</v>
      </c>
      <c r="AV42" s="85">
        <f t="shared" si="42"/>
        <v>0</v>
      </c>
      <c r="AW42" s="84">
        <f t="shared" si="53"/>
        <v>0</v>
      </c>
      <c r="AX42" s="85">
        <f t="shared" si="43"/>
        <v>0</v>
      </c>
      <c r="AY42" s="85">
        <f t="shared" si="54"/>
        <v>22486135.05</v>
      </c>
      <c r="AZ42" s="85">
        <f t="shared" si="44"/>
        <v>23075337.9709</v>
      </c>
      <c r="BA42" s="85">
        <f t="shared" si="45"/>
        <v>23075337.9709</v>
      </c>
      <c r="BB42" s="85">
        <f t="shared" si="55"/>
        <v>3402.94</v>
      </c>
      <c r="BC42" s="90">
        <f t="shared" si="56"/>
        <v>0.9999999206568501</v>
      </c>
      <c r="BD42" s="90">
        <f t="shared" si="46"/>
        <v>0.66</v>
      </c>
      <c r="BE42" s="85">
        <f t="shared" si="57"/>
        <v>12058158.5</v>
      </c>
      <c r="BF42" s="85">
        <f t="shared" si="58"/>
        <v>1778.23</v>
      </c>
      <c r="BG42" s="90">
        <f t="shared" si="47"/>
        <v>0.3432</v>
      </c>
      <c r="BH42" s="85">
        <f t="shared" si="48"/>
        <v>35133496.47</v>
      </c>
      <c r="BI42" s="85">
        <f t="shared" si="59"/>
        <v>5181.17</v>
      </c>
      <c r="BJ42" s="84">
        <v>7062</v>
      </c>
      <c r="BK42" s="92">
        <v>35</v>
      </c>
      <c r="BL42" s="84" t="s">
        <v>37</v>
      </c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</row>
    <row r="43" spans="1:164" s="7" customFormat="1" ht="12.75">
      <c r="A43" s="60">
        <v>36</v>
      </c>
      <c r="B43" s="61" t="s">
        <v>38</v>
      </c>
      <c r="C43" s="61">
        <v>75743</v>
      </c>
      <c r="D43" s="61">
        <v>56142</v>
      </c>
      <c r="E43" s="62">
        <f t="shared" si="10"/>
        <v>29615032</v>
      </c>
      <c r="F43" s="63">
        <f t="shared" si="49"/>
        <v>9544</v>
      </c>
      <c r="G43" s="61">
        <v>14044</v>
      </c>
      <c r="H43" s="62">
        <f t="shared" si="11"/>
        <v>2178306</v>
      </c>
      <c r="I43" s="61">
        <f t="shared" si="12"/>
        <v>702</v>
      </c>
      <c r="J43" s="61">
        <v>7331</v>
      </c>
      <c r="K43" s="62">
        <f t="shared" si="13"/>
        <v>34123691</v>
      </c>
      <c r="L43" s="61">
        <f t="shared" si="14"/>
        <v>10997</v>
      </c>
      <c r="M43" s="61">
        <v>4620</v>
      </c>
      <c r="N43" s="62">
        <f t="shared" si="15"/>
        <v>8601516</v>
      </c>
      <c r="O43" s="61">
        <f t="shared" si="16"/>
        <v>2772</v>
      </c>
      <c r="P43" s="61">
        <f t="shared" si="17"/>
        <v>0</v>
      </c>
      <c r="Q43" s="58">
        <f t="shared" si="18"/>
        <v>0</v>
      </c>
      <c r="R43" s="62">
        <f t="shared" si="19"/>
        <v>0</v>
      </c>
      <c r="S43" s="61">
        <f t="shared" si="20"/>
        <v>0</v>
      </c>
      <c r="T43" s="61">
        <f t="shared" si="21"/>
        <v>24015</v>
      </c>
      <c r="U43" s="189">
        <f t="shared" si="22"/>
        <v>99758</v>
      </c>
      <c r="V43" s="62">
        <f t="shared" si="23"/>
        <v>3103</v>
      </c>
      <c r="W43" s="62">
        <f t="shared" si="24"/>
        <v>309549074</v>
      </c>
      <c r="X43" s="65">
        <f>'Tables 6-8 Local Wealth'!M43</f>
        <v>1.03840317</v>
      </c>
      <c r="Y43" s="65">
        <f t="shared" si="25"/>
        <v>0.10160611</v>
      </c>
      <c r="Z43" s="65">
        <f t="shared" si="26"/>
        <v>0.10550811</v>
      </c>
      <c r="AA43" s="62">
        <f t="shared" si="50"/>
        <v>112502858.4152594</v>
      </c>
      <c r="AB43" s="66">
        <f t="shared" si="27"/>
        <v>0.3634</v>
      </c>
      <c r="AC43" s="67">
        <f t="shared" si="28"/>
        <v>197046215.58474058</v>
      </c>
      <c r="AD43" s="66">
        <f t="shared" si="29"/>
        <v>0.6366</v>
      </c>
      <c r="AE43" s="62">
        <f>'Tables 6-8 Local Wealth'!BI43</f>
        <v>175377449</v>
      </c>
      <c r="AF43" s="62">
        <f t="shared" si="30"/>
        <v>62874590.584740594</v>
      </c>
      <c r="AG43" s="70">
        <f t="shared" si="31"/>
        <v>0</v>
      </c>
      <c r="AH43" s="62">
        <f t="shared" si="32"/>
        <v>102151194</v>
      </c>
      <c r="AI43" s="62">
        <f t="shared" si="33"/>
        <v>62874590.584740594</v>
      </c>
      <c r="AJ43" s="67">
        <f t="shared" si="34"/>
        <v>23701086.079352524</v>
      </c>
      <c r="AK43" s="66">
        <f t="shared" si="35"/>
        <v>0.376958098</v>
      </c>
      <c r="AL43" s="62">
        <f t="shared" si="36"/>
        <v>14805633.719316486</v>
      </c>
      <c r="AM43" s="62">
        <f t="shared" si="37"/>
        <v>86575676.66409312</v>
      </c>
      <c r="AN43" s="62">
        <f t="shared" si="38"/>
        <v>220747301.6640931</v>
      </c>
      <c r="AO43" s="62">
        <f t="shared" si="39"/>
        <v>2914.42512</v>
      </c>
      <c r="AP43" s="62">
        <v>225953973.4249</v>
      </c>
      <c r="AQ43" s="57">
        <f>'[1]Table 4 Formula'!$C43</f>
        <v>77665</v>
      </c>
      <c r="AR43" s="62">
        <f t="shared" si="40"/>
        <v>2909.34</v>
      </c>
      <c r="AS43" s="66">
        <f t="shared" si="51"/>
        <v>0.9982551893458839</v>
      </c>
      <c r="AT43" s="163">
        <f t="shared" si="41"/>
        <v>0</v>
      </c>
      <c r="AU43" s="62">
        <f t="shared" si="52"/>
        <v>-5206671.5607</v>
      </c>
      <c r="AV43" s="62">
        <f t="shared" si="42"/>
        <v>0</v>
      </c>
      <c r="AW43" s="61">
        <f t="shared" si="53"/>
        <v>0</v>
      </c>
      <c r="AX43" s="62">
        <f t="shared" si="43"/>
        <v>0</v>
      </c>
      <c r="AY43" s="62">
        <f t="shared" si="54"/>
        <v>220362139.62</v>
      </c>
      <c r="AZ43" s="62">
        <f t="shared" si="44"/>
        <v>220747301.8642</v>
      </c>
      <c r="BA43" s="62">
        <f t="shared" si="45"/>
        <v>220747301.8642</v>
      </c>
      <c r="BB43" s="62">
        <f t="shared" si="55"/>
        <v>2914.43</v>
      </c>
      <c r="BC43" s="66">
        <f t="shared" si="56"/>
        <v>1.000001674429707</v>
      </c>
      <c r="BD43" s="66">
        <f t="shared" si="46"/>
        <v>0.56</v>
      </c>
      <c r="BE43" s="62">
        <f t="shared" si="57"/>
        <v>175377449</v>
      </c>
      <c r="BF43" s="62">
        <f t="shared" si="58"/>
        <v>2315.43</v>
      </c>
      <c r="BG43" s="66">
        <f t="shared" si="47"/>
        <v>0.4427</v>
      </c>
      <c r="BH43" s="62">
        <f t="shared" si="48"/>
        <v>396124750.86</v>
      </c>
      <c r="BI43" s="62">
        <f t="shared" si="59"/>
        <v>5229.85</v>
      </c>
      <c r="BJ43" s="61">
        <v>81030</v>
      </c>
      <c r="BK43" s="7">
        <v>36</v>
      </c>
      <c r="BL43" s="61" t="s">
        <v>38</v>
      </c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</row>
    <row r="44" spans="1:164" s="7" customFormat="1" ht="12.75">
      <c r="A44" s="60">
        <v>37</v>
      </c>
      <c r="B44" s="61" t="s">
        <v>39</v>
      </c>
      <c r="C44" s="61">
        <v>17365</v>
      </c>
      <c r="D44" s="61">
        <v>6783</v>
      </c>
      <c r="E44" s="62">
        <f t="shared" si="10"/>
        <v>3577759</v>
      </c>
      <c r="F44" s="63">
        <f t="shared" si="49"/>
        <v>1153</v>
      </c>
      <c r="G44" s="61">
        <v>3024</v>
      </c>
      <c r="H44" s="62">
        <f t="shared" si="11"/>
        <v>468553</v>
      </c>
      <c r="I44" s="61">
        <f t="shared" si="12"/>
        <v>151</v>
      </c>
      <c r="J44" s="61">
        <v>1931</v>
      </c>
      <c r="K44" s="62">
        <f t="shared" si="13"/>
        <v>8989391</v>
      </c>
      <c r="L44" s="61">
        <f t="shared" si="14"/>
        <v>2897</v>
      </c>
      <c r="M44" s="61">
        <v>1152</v>
      </c>
      <c r="N44" s="62">
        <f t="shared" si="15"/>
        <v>2144173</v>
      </c>
      <c r="O44" s="61">
        <f t="shared" si="16"/>
        <v>691</v>
      </c>
      <c r="P44" s="61">
        <f t="shared" si="17"/>
        <v>0</v>
      </c>
      <c r="Q44" s="58">
        <f t="shared" si="18"/>
        <v>0</v>
      </c>
      <c r="R44" s="62">
        <f t="shared" si="19"/>
        <v>0</v>
      </c>
      <c r="S44" s="61">
        <f t="shared" si="20"/>
        <v>0</v>
      </c>
      <c r="T44" s="61">
        <f t="shared" si="21"/>
        <v>4892</v>
      </c>
      <c r="U44" s="61">
        <f t="shared" si="22"/>
        <v>22257</v>
      </c>
      <c r="V44" s="62">
        <f t="shared" si="23"/>
        <v>3103</v>
      </c>
      <c r="W44" s="62">
        <f t="shared" si="24"/>
        <v>69063471</v>
      </c>
      <c r="X44" s="65">
        <f>'Tables 6-8 Local Wealth'!M44</f>
        <v>0.71257284</v>
      </c>
      <c r="Y44" s="65">
        <f t="shared" si="25"/>
        <v>0.02266933</v>
      </c>
      <c r="Z44" s="65">
        <f t="shared" si="26"/>
        <v>0.01615355</v>
      </c>
      <c r="AA44" s="62">
        <f t="shared" si="50"/>
        <v>17224463.11050225</v>
      </c>
      <c r="AB44" s="66">
        <f t="shared" si="27"/>
        <v>0.2494</v>
      </c>
      <c r="AC44" s="67">
        <f t="shared" si="28"/>
        <v>51839007.88949775</v>
      </c>
      <c r="AD44" s="66">
        <f t="shared" si="29"/>
        <v>0.7506</v>
      </c>
      <c r="AE44" s="62">
        <f>'Tables 6-8 Local Wealth'!BI44</f>
        <v>40847001</v>
      </c>
      <c r="AF44" s="62">
        <f t="shared" si="30"/>
        <v>23622537.88949775</v>
      </c>
      <c r="AG44" s="70">
        <f t="shared" si="31"/>
        <v>0</v>
      </c>
      <c r="AH44" s="62">
        <f t="shared" si="32"/>
        <v>22790945</v>
      </c>
      <c r="AI44" s="62">
        <f t="shared" si="33"/>
        <v>22790945</v>
      </c>
      <c r="AJ44" s="67">
        <f t="shared" si="34"/>
        <v>13046819.957039721</v>
      </c>
      <c r="AK44" s="66">
        <f t="shared" si="35"/>
        <v>0.572456296</v>
      </c>
      <c r="AL44" s="62">
        <f t="shared" si="36"/>
        <v>0</v>
      </c>
      <c r="AM44" s="62">
        <f t="shared" si="37"/>
        <v>35837764.95703972</v>
      </c>
      <c r="AN44" s="62">
        <f t="shared" si="38"/>
        <v>64885827.84653747</v>
      </c>
      <c r="AO44" s="62">
        <f t="shared" si="39"/>
        <v>3736.58669</v>
      </c>
      <c r="AP44" s="62">
        <v>59985099.248</v>
      </c>
      <c r="AQ44" s="57">
        <f>'[1]Table 4 Formula'!$C44</f>
        <v>17128</v>
      </c>
      <c r="AR44" s="62">
        <f t="shared" si="40"/>
        <v>3502.17</v>
      </c>
      <c r="AS44" s="66">
        <f t="shared" si="51"/>
        <v>0.9372644850908035</v>
      </c>
      <c r="AT44" s="163">
        <f t="shared" si="41"/>
        <v>4900728.598537467</v>
      </c>
      <c r="AU44" s="62">
        <f t="shared" si="52"/>
        <v>4900728.6239</v>
      </c>
      <c r="AV44" s="62">
        <f t="shared" si="42"/>
        <v>0</v>
      </c>
      <c r="AW44" s="61">
        <f t="shared" si="53"/>
        <v>0</v>
      </c>
      <c r="AX44" s="62">
        <f t="shared" si="43"/>
        <v>0</v>
      </c>
      <c r="AY44" s="62">
        <f t="shared" si="54"/>
        <v>59985099.248</v>
      </c>
      <c r="AZ44" s="62">
        <f t="shared" si="44"/>
        <v>64885827.8719</v>
      </c>
      <c r="BA44" s="62">
        <f t="shared" si="45"/>
        <v>64885827.8719</v>
      </c>
      <c r="BB44" s="62">
        <f t="shared" si="55"/>
        <v>3736.59</v>
      </c>
      <c r="BC44" s="66">
        <f t="shared" si="56"/>
        <v>1.0000008858351952</v>
      </c>
      <c r="BD44" s="66">
        <f t="shared" si="46"/>
        <v>0.62</v>
      </c>
      <c r="BE44" s="62">
        <f t="shared" si="57"/>
        <v>40015408.11</v>
      </c>
      <c r="BF44" s="62">
        <f t="shared" si="58"/>
        <v>2304.37</v>
      </c>
      <c r="BG44" s="66">
        <f t="shared" si="47"/>
        <v>0.3815</v>
      </c>
      <c r="BH44" s="62">
        <f t="shared" si="48"/>
        <v>104901235.98</v>
      </c>
      <c r="BI44" s="62">
        <f t="shared" si="59"/>
        <v>6040.96</v>
      </c>
      <c r="BJ44" s="61">
        <v>17571</v>
      </c>
      <c r="BK44" s="7">
        <v>37</v>
      </c>
      <c r="BL44" s="61" t="s">
        <v>39</v>
      </c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</row>
    <row r="45" spans="1:164" s="7" customFormat="1" ht="12.75">
      <c r="A45" s="60">
        <v>38</v>
      </c>
      <c r="B45" s="61" t="s">
        <v>40</v>
      </c>
      <c r="C45" s="61">
        <v>4772</v>
      </c>
      <c r="D45" s="61">
        <v>2618</v>
      </c>
      <c r="E45" s="62">
        <f t="shared" si="10"/>
        <v>1380835</v>
      </c>
      <c r="F45" s="63">
        <f t="shared" si="49"/>
        <v>445</v>
      </c>
      <c r="G45" s="61">
        <v>1114</v>
      </c>
      <c r="H45" s="62">
        <f t="shared" si="11"/>
        <v>173768</v>
      </c>
      <c r="I45" s="61">
        <f t="shared" si="12"/>
        <v>56</v>
      </c>
      <c r="J45" s="61">
        <v>541</v>
      </c>
      <c r="K45" s="62">
        <f t="shared" si="13"/>
        <v>2519636</v>
      </c>
      <c r="L45" s="61">
        <f t="shared" si="14"/>
        <v>812</v>
      </c>
      <c r="M45" s="61">
        <v>133</v>
      </c>
      <c r="N45" s="62">
        <f t="shared" si="15"/>
        <v>248240</v>
      </c>
      <c r="O45" s="61">
        <f t="shared" si="16"/>
        <v>80</v>
      </c>
      <c r="P45" s="61">
        <f t="shared" si="17"/>
        <v>2728</v>
      </c>
      <c r="Q45" s="58">
        <f t="shared" si="18"/>
        <v>0.07275</v>
      </c>
      <c r="R45" s="62">
        <f t="shared" si="19"/>
        <v>1076741</v>
      </c>
      <c r="S45" s="61">
        <f t="shared" si="20"/>
        <v>347</v>
      </c>
      <c r="T45" s="61">
        <f t="shared" si="21"/>
        <v>1740</v>
      </c>
      <c r="U45" s="61">
        <f t="shared" si="22"/>
        <v>6512</v>
      </c>
      <c r="V45" s="62">
        <f t="shared" si="23"/>
        <v>3103</v>
      </c>
      <c r="W45" s="62">
        <f t="shared" si="24"/>
        <v>20206736</v>
      </c>
      <c r="X45" s="65">
        <f>'Tables 6-8 Local Wealth'!M45</f>
        <v>2.45786078</v>
      </c>
      <c r="Y45" s="65">
        <f t="shared" si="25"/>
        <v>0.00663264</v>
      </c>
      <c r="Z45" s="65">
        <f t="shared" si="26"/>
        <v>0.01630211</v>
      </c>
      <c r="AA45" s="62">
        <f t="shared" si="50"/>
        <v>17382872.01998012</v>
      </c>
      <c r="AB45" s="66">
        <f t="shared" si="27"/>
        <v>0.8603</v>
      </c>
      <c r="AC45" s="67">
        <f t="shared" si="28"/>
        <v>2823863.9800198786</v>
      </c>
      <c r="AD45" s="66">
        <f t="shared" si="29"/>
        <v>0.1397</v>
      </c>
      <c r="AE45" s="62">
        <f>'Tables 6-8 Local Wealth'!BI45</f>
        <v>16838019.5</v>
      </c>
      <c r="AF45" s="62">
        <f t="shared" si="30"/>
        <v>0</v>
      </c>
      <c r="AG45" s="70">
        <f t="shared" si="31"/>
        <v>-544852.5199801214</v>
      </c>
      <c r="AH45" s="62">
        <f t="shared" si="32"/>
        <v>6668223</v>
      </c>
      <c r="AI45" s="62">
        <f t="shared" si="33"/>
        <v>0</v>
      </c>
      <c r="AJ45" s="67">
        <f t="shared" si="34"/>
        <v>0</v>
      </c>
      <c r="AK45" s="66">
        <f t="shared" si="35"/>
        <v>0</v>
      </c>
      <c r="AL45" s="62">
        <f t="shared" si="36"/>
        <v>0</v>
      </c>
      <c r="AM45" s="62">
        <f t="shared" si="37"/>
        <v>0</v>
      </c>
      <c r="AN45" s="62">
        <f t="shared" si="38"/>
        <v>2823863.9800198786</v>
      </c>
      <c r="AO45" s="62">
        <f t="shared" si="39"/>
        <v>591.75691</v>
      </c>
      <c r="AP45" s="62">
        <v>10018093.250000002</v>
      </c>
      <c r="AQ45" s="57">
        <f>'[1]Table 4 Formula'!$C45</f>
        <v>4775</v>
      </c>
      <c r="AR45" s="62">
        <f t="shared" si="40"/>
        <v>2098.03</v>
      </c>
      <c r="AS45" s="66">
        <f t="shared" si="51"/>
        <v>3.5454254349138066</v>
      </c>
      <c r="AT45" s="163">
        <f t="shared" si="41"/>
        <v>0</v>
      </c>
      <c r="AU45" s="62">
        <f t="shared" si="52"/>
        <v>-6294.09</v>
      </c>
      <c r="AV45" s="62">
        <f t="shared" si="42"/>
        <v>7187935.1855</v>
      </c>
      <c r="AW45" s="61">
        <f t="shared" si="53"/>
        <v>4772</v>
      </c>
      <c r="AX45" s="62">
        <f t="shared" si="43"/>
        <v>1506.273090004191</v>
      </c>
      <c r="AY45" s="62">
        <f t="shared" si="54"/>
        <v>10011799.16</v>
      </c>
      <c r="AZ45" s="62">
        <f t="shared" si="44"/>
        <v>2823863.9745</v>
      </c>
      <c r="BA45" s="62">
        <f t="shared" si="45"/>
        <v>10011799.16</v>
      </c>
      <c r="BB45" s="62">
        <f t="shared" si="55"/>
        <v>2098.03</v>
      </c>
      <c r="BC45" s="66">
        <f t="shared" si="56"/>
        <v>3.5454254349138066</v>
      </c>
      <c r="BD45" s="66">
        <f t="shared" si="46"/>
        <v>0.5</v>
      </c>
      <c r="BE45" s="62">
        <f t="shared" si="57"/>
        <v>10194936.83</v>
      </c>
      <c r="BF45" s="62">
        <f t="shared" si="58"/>
        <v>2136.41</v>
      </c>
      <c r="BG45" s="66">
        <f t="shared" si="47"/>
        <v>0.5045</v>
      </c>
      <c r="BH45" s="62">
        <f t="shared" si="48"/>
        <v>20206735.99</v>
      </c>
      <c r="BI45" s="62">
        <f t="shared" si="59"/>
        <v>4234.44</v>
      </c>
      <c r="BJ45" s="61">
        <v>5027</v>
      </c>
      <c r="BK45" s="7">
        <v>38</v>
      </c>
      <c r="BL45" s="61" t="s">
        <v>40</v>
      </c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</row>
    <row r="46" spans="1:164" s="7" customFormat="1" ht="12.75">
      <c r="A46" s="60">
        <v>39</v>
      </c>
      <c r="B46" s="61" t="s">
        <v>41</v>
      </c>
      <c r="C46" s="61">
        <v>3325</v>
      </c>
      <c r="D46" s="61">
        <v>1287</v>
      </c>
      <c r="E46" s="62">
        <f t="shared" si="10"/>
        <v>679557</v>
      </c>
      <c r="F46" s="63">
        <f t="shared" si="49"/>
        <v>219</v>
      </c>
      <c r="G46" s="61">
        <v>1211</v>
      </c>
      <c r="H46" s="62">
        <f t="shared" si="11"/>
        <v>189283</v>
      </c>
      <c r="I46" s="61">
        <f t="shared" si="12"/>
        <v>61</v>
      </c>
      <c r="J46" s="61">
        <v>661</v>
      </c>
      <c r="K46" s="62">
        <f t="shared" si="13"/>
        <v>3078176</v>
      </c>
      <c r="L46" s="61">
        <f t="shared" si="14"/>
        <v>992</v>
      </c>
      <c r="M46" s="61">
        <v>19</v>
      </c>
      <c r="N46" s="62">
        <f t="shared" si="15"/>
        <v>34133</v>
      </c>
      <c r="O46" s="61">
        <f t="shared" si="16"/>
        <v>11</v>
      </c>
      <c r="P46" s="61">
        <f t="shared" si="17"/>
        <v>4175</v>
      </c>
      <c r="Q46" s="58">
        <f t="shared" si="18"/>
        <v>0.11133</v>
      </c>
      <c r="R46" s="62">
        <f t="shared" si="19"/>
        <v>1148110</v>
      </c>
      <c r="S46" s="61">
        <f t="shared" si="20"/>
        <v>370</v>
      </c>
      <c r="T46" s="61">
        <f t="shared" si="21"/>
        <v>1653</v>
      </c>
      <c r="U46" s="61">
        <f t="shared" si="22"/>
        <v>4978</v>
      </c>
      <c r="V46" s="62">
        <f t="shared" si="23"/>
        <v>3103</v>
      </c>
      <c r="W46" s="62">
        <f t="shared" si="24"/>
        <v>15446734</v>
      </c>
      <c r="X46" s="65">
        <f>'Tables 6-8 Local Wealth'!M46</f>
        <v>1.33339512</v>
      </c>
      <c r="Y46" s="65">
        <f t="shared" si="25"/>
        <v>0.00507022</v>
      </c>
      <c r="Z46" s="65">
        <f t="shared" si="26"/>
        <v>0.00676061</v>
      </c>
      <c r="AA46" s="62">
        <f t="shared" si="50"/>
        <v>7208810.295538295</v>
      </c>
      <c r="AB46" s="66">
        <f t="shared" si="27"/>
        <v>0.4667</v>
      </c>
      <c r="AC46" s="67">
        <f t="shared" si="28"/>
        <v>8237923.704461705</v>
      </c>
      <c r="AD46" s="66">
        <f t="shared" si="29"/>
        <v>0.5333</v>
      </c>
      <c r="AE46" s="62">
        <f>'Tables 6-8 Local Wealth'!BI46</f>
        <v>7040881.5</v>
      </c>
      <c r="AF46" s="62">
        <f t="shared" si="30"/>
        <v>0</v>
      </c>
      <c r="AG46" s="70">
        <f t="shared" si="31"/>
        <v>-167928.79553829506</v>
      </c>
      <c r="AH46" s="62">
        <f t="shared" si="32"/>
        <v>5097422</v>
      </c>
      <c r="AI46" s="62">
        <f t="shared" si="33"/>
        <v>0</v>
      </c>
      <c r="AJ46" s="67">
        <f t="shared" si="34"/>
        <v>0</v>
      </c>
      <c r="AK46" s="66">
        <f t="shared" si="35"/>
        <v>0</v>
      </c>
      <c r="AL46" s="62">
        <f t="shared" si="36"/>
        <v>1019295.4283716162</v>
      </c>
      <c r="AM46" s="62">
        <f t="shared" si="37"/>
        <v>0</v>
      </c>
      <c r="AN46" s="62">
        <f t="shared" si="38"/>
        <v>8237923.704461705</v>
      </c>
      <c r="AO46" s="62">
        <f t="shared" si="39"/>
        <v>2477.57104</v>
      </c>
      <c r="AP46" s="62">
        <v>8721951.28</v>
      </c>
      <c r="AQ46" s="57">
        <f>'[1]Table 4 Formula'!$C46</f>
        <v>3346</v>
      </c>
      <c r="AR46" s="62">
        <f t="shared" si="40"/>
        <v>2606.68</v>
      </c>
      <c r="AS46" s="66">
        <f t="shared" si="51"/>
        <v>1.0521111031391455</v>
      </c>
      <c r="AT46" s="163">
        <f t="shared" si="41"/>
        <v>0</v>
      </c>
      <c r="AU46" s="62">
        <f t="shared" si="52"/>
        <v>-54740.28</v>
      </c>
      <c r="AV46" s="62">
        <f t="shared" si="42"/>
        <v>429287.29200000037</v>
      </c>
      <c r="AW46" s="61">
        <f t="shared" si="53"/>
        <v>3325</v>
      </c>
      <c r="AX46" s="62">
        <f t="shared" si="43"/>
        <v>129.1089600000001</v>
      </c>
      <c r="AY46" s="62">
        <f t="shared" si="54"/>
        <v>8667211</v>
      </c>
      <c r="AZ46" s="62">
        <f t="shared" si="44"/>
        <v>8237923.708</v>
      </c>
      <c r="BA46" s="62">
        <f t="shared" si="45"/>
        <v>8667211</v>
      </c>
      <c r="BB46" s="62">
        <f t="shared" si="55"/>
        <v>2606.68</v>
      </c>
      <c r="BC46" s="66">
        <f t="shared" si="56"/>
        <v>1.0521111031391455</v>
      </c>
      <c r="BD46" s="66">
        <f t="shared" si="46"/>
        <v>0.56</v>
      </c>
      <c r="BE46" s="62">
        <f t="shared" si="57"/>
        <v>6779523</v>
      </c>
      <c r="BF46" s="62">
        <f t="shared" si="58"/>
        <v>2038.95</v>
      </c>
      <c r="BG46" s="66">
        <f t="shared" si="47"/>
        <v>0.4389</v>
      </c>
      <c r="BH46" s="62">
        <f t="shared" si="48"/>
        <v>15446734</v>
      </c>
      <c r="BI46" s="62">
        <f t="shared" si="59"/>
        <v>4645.63</v>
      </c>
      <c r="BJ46" s="61">
        <v>3442</v>
      </c>
      <c r="BK46" s="7">
        <v>39</v>
      </c>
      <c r="BL46" s="61" t="s">
        <v>41</v>
      </c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</row>
    <row r="47" spans="1:164" s="92" customFormat="1" ht="12.75">
      <c r="A47" s="83">
        <v>40</v>
      </c>
      <c r="B47" s="84" t="s">
        <v>42</v>
      </c>
      <c r="C47" s="84">
        <v>23133</v>
      </c>
      <c r="D47" s="84">
        <v>14193</v>
      </c>
      <c r="E47" s="85">
        <f t="shared" si="10"/>
        <v>7487539</v>
      </c>
      <c r="F47" s="86">
        <f t="shared" si="49"/>
        <v>2413</v>
      </c>
      <c r="G47" s="84">
        <v>6838</v>
      </c>
      <c r="H47" s="85">
        <f t="shared" si="11"/>
        <v>1061226</v>
      </c>
      <c r="I47" s="84">
        <f t="shared" si="12"/>
        <v>342</v>
      </c>
      <c r="J47" s="84">
        <v>3146</v>
      </c>
      <c r="K47" s="85">
        <f t="shared" si="13"/>
        <v>14643057</v>
      </c>
      <c r="L47" s="84">
        <f t="shared" si="14"/>
        <v>4719</v>
      </c>
      <c r="M47" s="84">
        <v>437</v>
      </c>
      <c r="N47" s="85">
        <f t="shared" si="15"/>
        <v>812986</v>
      </c>
      <c r="O47" s="84">
        <f t="shared" si="16"/>
        <v>262</v>
      </c>
      <c r="P47" s="84">
        <f t="shared" si="17"/>
        <v>0</v>
      </c>
      <c r="Q47" s="87">
        <f t="shared" si="18"/>
        <v>0</v>
      </c>
      <c r="R47" s="85">
        <f t="shared" si="19"/>
        <v>0</v>
      </c>
      <c r="S47" s="84">
        <f t="shared" si="20"/>
        <v>0</v>
      </c>
      <c r="T47" s="84">
        <f t="shared" si="21"/>
        <v>7736</v>
      </c>
      <c r="U47" s="61">
        <f t="shared" si="22"/>
        <v>30869</v>
      </c>
      <c r="V47" s="85">
        <f t="shared" si="23"/>
        <v>3103</v>
      </c>
      <c r="W47" s="85">
        <f t="shared" si="24"/>
        <v>95786507</v>
      </c>
      <c r="X47" s="89">
        <f>'Tables 6-8 Local Wealth'!M47</f>
        <v>0.87472921</v>
      </c>
      <c r="Y47" s="89">
        <f t="shared" si="25"/>
        <v>0.03144088</v>
      </c>
      <c r="Z47" s="89">
        <f t="shared" si="26"/>
        <v>0.02750226</v>
      </c>
      <c r="AA47" s="85">
        <f t="shared" si="50"/>
        <v>29325545.333715603</v>
      </c>
      <c r="AB47" s="90">
        <f t="shared" si="27"/>
        <v>0.3062</v>
      </c>
      <c r="AC47" s="91">
        <f t="shared" si="28"/>
        <v>66460961.6662844</v>
      </c>
      <c r="AD47" s="90">
        <f t="shared" si="29"/>
        <v>0.6938</v>
      </c>
      <c r="AE47" s="85">
        <f>'Tables 6-8 Local Wealth'!BI47</f>
        <v>50311962</v>
      </c>
      <c r="AF47" s="85">
        <f t="shared" si="30"/>
        <v>20986416.666284397</v>
      </c>
      <c r="AG47" s="104">
        <f t="shared" si="31"/>
        <v>0</v>
      </c>
      <c r="AH47" s="85">
        <f t="shared" si="32"/>
        <v>31609547</v>
      </c>
      <c r="AI47" s="85">
        <f t="shared" si="33"/>
        <v>20986416.666284397</v>
      </c>
      <c r="AJ47" s="91">
        <f t="shared" si="34"/>
        <v>9971957.663546527</v>
      </c>
      <c r="AK47" s="90">
        <f t="shared" si="35"/>
        <v>0.475162474</v>
      </c>
      <c r="AL47" s="85">
        <f t="shared" si="36"/>
        <v>5047712.890992751</v>
      </c>
      <c r="AM47" s="85">
        <f t="shared" si="37"/>
        <v>30958374.329830922</v>
      </c>
      <c r="AN47" s="85">
        <f t="shared" si="38"/>
        <v>76432919.32983093</v>
      </c>
      <c r="AO47" s="85">
        <f t="shared" si="39"/>
        <v>3304.06429</v>
      </c>
      <c r="AP47" s="85">
        <v>74878310.9516</v>
      </c>
      <c r="AQ47" s="100">
        <f>'[1]Table 4 Formula'!$C47</f>
        <v>23505</v>
      </c>
      <c r="AR47" s="85">
        <f t="shared" si="40"/>
        <v>3185.63</v>
      </c>
      <c r="AS47" s="90">
        <f t="shared" si="51"/>
        <v>0.9641549680620773</v>
      </c>
      <c r="AT47" s="164">
        <f t="shared" si="41"/>
        <v>1554608.3782309294</v>
      </c>
      <c r="AU47" s="85">
        <f t="shared" si="52"/>
        <v>1554608.269</v>
      </c>
      <c r="AV47" s="85">
        <f t="shared" si="42"/>
        <v>0</v>
      </c>
      <c r="AW47" s="84">
        <f t="shared" si="53"/>
        <v>0</v>
      </c>
      <c r="AX47" s="85">
        <f t="shared" si="43"/>
        <v>0</v>
      </c>
      <c r="AY47" s="85">
        <f t="shared" si="54"/>
        <v>73693178.79</v>
      </c>
      <c r="AZ47" s="85">
        <f t="shared" si="44"/>
        <v>76432919.2206</v>
      </c>
      <c r="BA47" s="85">
        <f t="shared" si="45"/>
        <v>76432919.2206</v>
      </c>
      <c r="BB47" s="85">
        <f t="shared" si="55"/>
        <v>3304.06</v>
      </c>
      <c r="BC47" s="90">
        <f t="shared" si="56"/>
        <v>0.9999987015991145</v>
      </c>
      <c r="BD47" s="90">
        <f t="shared" si="46"/>
        <v>0.6</v>
      </c>
      <c r="BE47" s="85">
        <f t="shared" si="57"/>
        <v>50311962</v>
      </c>
      <c r="BF47" s="85">
        <f t="shared" si="58"/>
        <v>2174.9</v>
      </c>
      <c r="BG47" s="90">
        <f t="shared" si="47"/>
        <v>0.397</v>
      </c>
      <c r="BH47" s="85">
        <f t="shared" si="48"/>
        <v>126744881.22</v>
      </c>
      <c r="BI47" s="85">
        <f t="shared" si="59"/>
        <v>5478.96</v>
      </c>
      <c r="BJ47" s="84">
        <v>23590</v>
      </c>
      <c r="BK47" s="92">
        <v>40</v>
      </c>
      <c r="BL47" s="84" t="s">
        <v>42</v>
      </c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</row>
    <row r="48" spans="1:164" s="7" customFormat="1" ht="12.75">
      <c r="A48" s="60">
        <v>41</v>
      </c>
      <c r="B48" s="61" t="s">
        <v>43</v>
      </c>
      <c r="C48" s="61">
        <v>1818</v>
      </c>
      <c r="D48" s="61">
        <v>1462</v>
      </c>
      <c r="E48" s="62">
        <f t="shared" si="10"/>
        <v>772647</v>
      </c>
      <c r="F48" s="63">
        <f t="shared" si="49"/>
        <v>249</v>
      </c>
      <c r="G48" s="61">
        <v>471</v>
      </c>
      <c r="H48" s="62">
        <f t="shared" si="11"/>
        <v>74472</v>
      </c>
      <c r="I48" s="61">
        <f t="shared" si="12"/>
        <v>24</v>
      </c>
      <c r="J48" s="61">
        <v>266</v>
      </c>
      <c r="K48" s="62">
        <f t="shared" si="13"/>
        <v>1238097</v>
      </c>
      <c r="L48" s="61">
        <f t="shared" si="14"/>
        <v>399</v>
      </c>
      <c r="M48" s="61">
        <v>4</v>
      </c>
      <c r="N48" s="62">
        <f t="shared" si="15"/>
        <v>6206</v>
      </c>
      <c r="O48" s="61">
        <f t="shared" si="16"/>
        <v>2</v>
      </c>
      <c r="P48" s="61">
        <f t="shared" si="17"/>
        <v>5682</v>
      </c>
      <c r="Q48" s="58">
        <f t="shared" si="18"/>
        <v>0.15152</v>
      </c>
      <c r="R48" s="62">
        <f t="shared" si="19"/>
        <v>853325</v>
      </c>
      <c r="S48" s="61">
        <f t="shared" si="20"/>
        <v>275</v>
      </c>
      <c r="T48" s="61">
        <f t="shared" si="21"/>
        <v>949</v>
      </c>
      <c r="U48" s="189">
        <f t="shared" si="22"/>
        <v>2767</v>
      </c>
      <c r="V48" s="62">
        <f t="shared" si="23"/>
        <v>3103</v>
      </c>
      <c r="W48" s="62">
        <f t="shared" si="24"/>
        <v>8586001</v>
      </c>
      <c r="X48" s="65">
        <f>'Tables 6-8 Local Wealth'!M48</f>
        <v>0.46107552</v>
      </c>
      <c r="Y48" s="65">
        <f t="shared" si="25"/>
        <v>0.00281826</v>
      </c>
      <c r="Z48" s="65">
        <f t="shared" si="26"/>
        <v>0.00129943</v>
      </c>
      <c r="AA48" s="62">
        <f t="shared" si="50"/>
        <v>1385576.7988881664</v>
      </c>
      <c r="AB48" s="66">
        <f t="shared" si="27"/>
        <v>0.1614</v>
      </c>
      <c r="AC48" s="67">
        <f t="shared" si="28"/>
        <v>7200424.201111834</v>
      </c>
      <c r="AD48" s="66">
        <f t="shared" si="29"/>
        <v>0.8386</v>
      </c>
      <c r="AE48" s="62">
        <f>'Tables 6-8 Local Wealth'!BI48</f>
        <v>3411049</v>
      </c>
      <c r="AF48" s="62">
        <f t="shared" si="30"/>
        <v>2025472.2011118336</v>
      </c>
      <c r="AG48" s="70">
        <f t="shared" si="31"/>
        <v>0</v>
      </c>
      <c r="AH48" s="62">
        <f t="shared" si="32"/>
        <v>2833380</v>
      </c>
      <c r="AI48" s="62">
        <f t="shared" si="33"/>
        <v>2025472.2011118336</v>
      </c>
      <c r="AJ48" s="67">
        <f t="shared" si="34"/>
        <v>1465134.8120879238</v>
      </c>
      <c r="AK48" s="66">
        <f t="shared" si="35"/>
        <v>0.723354688</v>
      </c>
      <c r="AL48" s="62">
        <f t="shared" si="36"/>
        <v>584403.8937975164</v>
      </c>
      <c r="AM48" s="62">
        <f t="shared" si="37"/>
        <v>3490607.0131997573</v>
      </c>
      <c r="AN48" s="62">
        <f t="shared" si="38"/>
        <v>8665559.013199758</v>
      </c>
      <c r="AO48" s="62">
        <f t="shared" si="39"/>
        <v>4766.53411</v>
      </c>
      <c r="AP48" s="62">
        <v>8425707.0811</v>
      </c>
      <c r="AQ48" s="57">
        <f>'[1]Table 4 Formula'!$C48</f>
        <v>1869</v>
      </c>
      <c r="AR48" s="62">
        <f t="shared" si="40"/>
        <v>4508.14</v>
      </c>
      <c r="AS48" s="66">
        <f t="shared" si="51"/>
        <v>0.9457899379220011</v>
      </c>
      <c r="AT48" s="163">
        <f t="shared" si="41"/>
        <v>239851.93209975772</v>
      </c>
      <c r="AU48" s="62">
        <f t="shared" si="52"/>
        <v>239851.9309</v>
      </c>
      <c r="AV48" s="62">
        <f t="shared" si="42"/>
        <v>0</v>
      </c>
      <c r="AW48" s="61">
        <f t="shared" si="53"/>
        <v>0</v>
      </c>
      <c r="AX48" s="62">
        <f t="shared" si="43"/>
        <v>0</v>
      </c>
      <c r="AY48" s="62">
        <f t="shared" si="54"/>
        <v>8195798.5200000005</v>
      </c>
      <c r="AZ48" s="62">
        <f t="shared" si="44"/>
        <v>8665559.012</v>
      </c>
      <c r="BA48" s="62">
        <f t="shared" si="45"/>
        <v>8665559.012</v>
      </c>
      <c r="BB48" s="62">
        <f t="shared" si="55"/>
        <v>4766.53</v>
      </c>
      <c r="BC48" s="66">
        <f t="shared" si="56"/>
        <v>0.9999991377382591</v>
      </c>
      <c r="BD48" s="66">
        <f t="shared" si="46"/>
        <v>0.72</v>
      </c>
      <c r="BE48" s="62">
        <f t="shared" si="57"/>
        <v>3411049</v>
      </c>
      <c r="BF48" s="62">
        <f t="shared" si="58"/>
        <v>1876.26</v>
      </c>
      <c r="BG48" s="66">
        <f t="shared" si="47"/>
        <v>0.2825</v>
      </c>
      <c r="BH48" s="62">
        <f t="shared" si="48"/>
        <v>12076608.01</v>
      </c>
      <c r="BI48" s="62">
        <f t="shared" si="59"/>
        <v>6642.8</v>
      </c>
      <c r="BJ48" s="61">
        <v>2029</v>
      </c>
      <c r="BK48" s="7">
        <v>41</v>
      </c>
      <c r="BL48" s="61" t="s">
        <v>43</v>
      </c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</row>
    <row r="49" spans="1:164" s="7" customFormat="1" ht="12.75">
      <c r="A49" s="60">
        <v>42</v>
      </c>
      <c r="B49" s="61" t="s">
        <v>44</v>
      </c>
      <c r="C49" s="61">
        <v>3760</v>
      </c>
      <c r="D49" s="61">
        <v>2542</v>
      </c>
      <c r="E49" s="62">
        <f t="shared" si="10"/>
        <v>1340496</v>
      </c>
      <c r="F49" s="63">
        <f t="shared" si="49"/>
        <v>432</v>
      </c>
      <c r="G49" s="61">
        <v>801</v>
      </c>
      <c r="H49" s="62">
        <f t="shared" si="11"/>
        <v>124120</v>
      </c>
      <c r="I49" s="61">
        <f t="shared" si="12"/>
        <v>40</v>
      </c>
      <c r="J49" s="61">
        <v>582</v>
      </c>
      <c r="K49" s="62">
        <f t="shared" si="13"/>
        <v>2708919</v>
      </c>
      <c r="L49" s="61">
        <f t="shared" si="14"/>
        <v>873</v>
      </c>
      <c r="M49" s="61">
        <v>131</v>
      </c>
      <c r="N49" s="62">
        <f t="shared" si="15"/>
        <v>245137</v>
      </c>
      <c r="O49" s="61">
        <f t="shared" si="16"/>
        <v>79</v>
      </c>
      <c r="P49" s="61">
        <f t="shared" si="17"/>
        <v>3740</v>
      </c>
      <c r="Q49" s="58">
        <f t="shared" si="18"/>
        <v>0.09973</v>
      </c>
      <c r="R49" s="62">
        <f t="shared" si="19"/>
        <v>1163625</v>
      </c>
      <c r="S49" s="61">
        <f t="shared" si="20"/>
        <v>375</v>
      </c>
      <c r="T49" s="61">
        <f t="shared" si="21"/>
        <v>1799</v>
      </c>
      <c r="U49" s="61">
        <f t="shared" si="22"/>
        <v>5559</v>
      </c>
      <c r="V49" s="62">
        <f t="shared" si="23"/>
        <v>3103</v>
      </c>
      <c r="W49" s="62">
        <f t="shared" si="24"/>
        <v>17249577</v>
      </c>
      <c r="X49" s="65">
        <f>'Tables 6-8 Local Wealth'!M49</f>
        <v>0.55677645</v>
      </c>
      <c r="Y49" s="65">
        <f t="shared" si="25"/>
        <v>0.00566199</v>
      </c>
      <c r="Z49" s="65">
        <f t="shared" si="26"/>
        <v>0.00315246</v>
      </c>
      <c r="AA49" s="62">
        <f t="shared" si="50"/>
        <v>3361454.972890413</v>
      </c>
      <c r="AB49" s="66">
        <f t="shared" si="27"/>
        <v>0.1949</v>
      </c>
      <c r="AC49" s="67">
        <f t="shared" si="28"/>
        <v>13888122.027109588</v>
      </c>
      <c r="AD49" s="66">
        <f t="shared" si="29"/>
        <v>0.8051</v>
      </c>
      <c r="AE49" s="62">
        <f>'Tables 6-8 Local Wealth'!BI49</f>
        <v>4206874.5</v>
      </c>
      <c r="AF49" s="62">
        <f t="shared" si="30"/>
        <v>845419.5271095871</v>
      </c>
      <c r="AG49" s="70">
        <f t="shared" si="31"/>
        <v>0</v>
      </c>
      <c r="AH49" s="62">
        <f t="shared" si="32"/>
        <v>5692360</v>
      </c>
      <c r="AI49" s="62">
        <f t="shared" si="33"/>
        <v>845419.5271095871</v>
      </c>
      <c r="AJ49" s="67">
        <f t="shared" si="34"/>
        <v>562993.7172707343</v>
      </c>
      <c r="AK49" s="66">
        <f t="shared" si="35"/>
        <v>0.6659341299999999</v>
      </c>
      <c r="AL49" s="62">
        <f t="shared" si="36"/>
        <v>3227743.0869760658</v>
      </c>
      <c r="AM49" s="62">
        <f t="shared" si="37"/>
        <v>1408413.2443803214</v>
      </c>
      <c r="AN49" s="62">
        <f t="shared" si="38"/>
        <v>14451115.744380321</v>
      </c>
      <c r="AO49" s="62">
        <f t="shared" si="39"/>
        <v>3843.38185</v>
      </c>
      <c r="AP49" s="62">
        <v>13778555.6744</v>
      </c>
      <c r="AQ49" s="57">
        <f>'[1]Table 4 Formula'!$C49</f>
        <v>3807</v>
      </c>
      <c r="AR49" s="62">
        <f t="shared" si="40"/>
        <v>3619.27</v>
      </c>
      <c r="AS49" s="66">
        <f t="shared" si="51"/>
        <v>0.9416888930773297</v>
      </c>
      <c r="AT49" s="163">
        <f t="shared" si="41"/>
        <v>672560.0699803215</v>
      </c>
      <c r="AU49" s="62">
        <f t="shared" si="52"/>
        <v>672560.0816</v>
      </c>
      <c r="AV49" s="62">
        <f t="shared" si="42"/>
        <v>0</v>
      </c>
      <c r="AW49" s="61">
        <f t="shared" si="53"/>
        <v>0</v>
      </c>
      <c r="AX49" s="62">
        <f t="shared" si="43"/>
        <v>0</v>
      </c>
      <c r="AY49" s="62">
        <f t="shared" si="54"/>
        <v>13608455.2</v>
      </c>
      <c r="AZ49" s="62">
        <f t="shared" si="44"/>
        <v>14451115.756</v>
      </c>
      <c r="BA49" s="62">
        <f t="shared" si="45"/>
        <v>14451115.756</v>
      </c>
      <c r="BB49" s="62">
        <f t="shared" si="55"/>
        <v>3843.38</v>
      </c>
      <c r="BC49" s="66">
        <f t="shared" si="56"/>
        <v>0.9999995186530841</v>
      </c>
      <c r="BD49" s="66">
        <f t="shared" si="46"/>
        <v>0.77</v>
      </c>
      <c r="BE49" s="62">
        <f t="shared" si="57"/>
        <v>4206874.5</v>
      </c>
      <c r="BF49" s="62">
        <f t="shared" si="58"/>
        <v>1118.85</v>
      </c>
      <c r="BG49" s="66">
        <f t="shared" si="47"/>
        <v>0.2255</v>
      </c>
      <c r="BH49" s="62">
        <f t="shared" si="48"/>
        <v>18657990.26</v>
      </c>
      <c r="BI49" s="62">
        <f t="shared" si="59"/>
        <v>4962.23</v>
      </c>
      <c r="BJ49" s="61">
        <v>4068</v>
      </c>
      <c r="BK49" s="7">
        <v>42</v>
      </c>
      <c r="BL49" s="61" t="s">
        <v>44</v>
      </c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</row>
    <row r="50" spans="1:164" s="7" customFormat="1" ht="12.75">
      <c r="A50" s="60">
        <v>43</v>
      </c>
      <c r="B50" s="61" t="s">
        <v>45</v>
      </c>
      <c r="C50" s="61">
        <v>4257</v>
      </c>
      <c r="D50" s="61">
        <v>2641</v>
      </c>
      <c r="E50" s="62">
        <f t="shared" si="10"/>
        <v>1393247</v>
      </c>
      <c r="F50" s="63">
        <f t="shared" si="49"/>
        <v>449</v>
      </c>
      <c r="G50" s="61">
        <v>1850</v>
      </c>
      <c r="H50" s="62">
        <f t="shared" si="11"/>
        <v>288579</v>
      </c>
      <c r="I50" s="61">
        <f t="shared" si="12"/>
        <v>93</v>
      </c>
      <c r="J50" s="61">
        <v>680</v>
      </c>
      <c r="K50" s="62">
        <f t="shared" si="13"/>
        <v>3165060</v>
      </c>
      <c r="L50" s="61">
        <f t="shared" si="14"/>
        <v>1020</v>
      </c>
      <c r="M50" s="61">
        <v>87</v>
      </c>
      <c r="N50" s="62">
        <f t="shared" si="15"/>
        <v>161356</v>
      </c>
      <c r="O50" s="61">
        <f t="shared" si="16"/>
        <v>52</v>
      </c>
      <c r="P50" s="61">
        <f t="shared" si="17"/>
        <v>3243</v>
      </c>
      <c r="Q50" s="58">
        <f t="shared" si="18"/>
        <v>0.08648</v>
      </c>
      <c r="R50" s="62">
        <f t="shared" si="19"/>
        <v>1141904</v>
      </c>
      <c r="S50" s="61">
        <f t="shared" si="20"/>
        <v>368</v>
      </c>
      <c r="T50" s="61">
        <f t="shared" si="21"/>
        <v>1982</v>
      </c>
      <c r="U50" s="61">
        <f t="shared" si="22"/>
        <v>6239</v>
      </c>
      <c r="V50" s="62">
        <f t="shared" si="23"/>
        <v>3103</v>
      </c>
      <c r="W50" s="62">
        <f t="shared" si="24"/>
        <v>19359617</v>
      </c>
      <c r="X50" s="65">
        <f>'Tables 6-8 Local Wealth'!M50</f>
        <v>0.66231856</v>
      </c>
      <c r="Y50" s="65">
        <f t="shared" si="25"/>
        <v>0.00635458</v>
      </c>
      <c r="Z50" s="65">
        <f t="shared" si="26"/>
        <v>0.00420876</v>
      </c>
      <c r="AA50" s="62">
        <f t="shared" si="50"/>
        <v>4487783.265038177</v>
      </c>
      <c r="AB50" s="66">
        <f t="shared" si="27"/>
        <v>0.2318</v>
      </c>
      <c r="AC50" s="67">
        <f t="shared" si="28"/>
        <v>14871833.734961823</v>
      </c>
      <c r="AD50" s="66">
        <f t="shared" si="29"/>
        <v>0.7682</v>
      </c>
      <c r="AE50" s="62">
        <f>'Tables 6-8 Local Wealth'!BI50</f>
        <v>5482868</v>
      </c>
      <c r="AF50" s="62">
        <f t="shared" si="30"/>
        <v>995084.7349618226</v>
      </c>
      <c r="AG50" s="70">
        <f t="shared" si="31"/>
        <v>0</v>
      </c>
      <c r="AH50" s="62">
        <f t="shared" si="32"/>
        <v>6388674</v>
      </c>
      <c r="AI50" s="62">
        <f t="shared" si="33"/>
        <v>995084.7349618226</v>
      </c>
      <c r="AJ50" s="67">
        <f t="shared" si="34"/>
        <v>599646.881719085</v>
      </c>
      <c r="AK50" s="66">
        <f t="shared" si="35"/>
        <v>0.602608864</v>
      </c>
      <c r="AL50" s="62">
        <f t="shared" si="36"/>
        <v>3250224.699887251</v>
      </c>
      <c r="AM50" s="62">
        <f t="shared" si="37"/>
        <v>1594731.6166809076</v>
      </c>
      <c r="AN50" s="62">
        <f t="shared" si="38"/>
        <v>15471480.616680907</v>
      </c>
      <c r="AO50" s="62">
        <f t="shared" si="39"/>
        <v>3634.36237</v>
      </c>
      <c r="AP50" s="62">
        <v>15350508.071</v>
      </c>
      <c r="AQ50" s="57">
        <f>'[1]Table 4 Formula'!$C50</f>
        <v>4358</v>
      </c>
      <c r="AR50" s="62">
        <f t="shared" si="40"/>
        <v>3522.37</v>
      </c>
      <c r="AS50" s="66">
        <f t="shared" si="51"/>
        <v>0.9691851393453648</v>
      </c>
      <c r="AT50" s="163">
        <f t="shared" si="41"/>
        <v>120972.54568090662</v>
      </c>
      <c r="AU50" s="62">
        <f t="shared" si="52"/>
        <v>120972.5381</v>
      </c>
      <c r="AV50" s="62">
        <f t="shared" si="42"/>
        <v>0</v>
      </c>
      <c r="AW50" s="61">
        <f t="shared" si="53"/>
        <v>0</v>
      </c>
      <c r="AX50" s="62">
        <f t="shared" si="43"/>
        <v>0</v>
      </c>
      <c r="AY50" s="62">
        <f t="shared" si="54"/>
        <v>14994729.09</v>
      </c>
      <c r="AZ50" s="62">
        <f t="shared" si="44"/>
        <v>15471480.6091</v>
      </c>
      <c r="BA50" s="62">
        <f t="shared" si="45"/>
        <v>15471480.6091</v>
      </c>
      <c r="BB50" s="62">
        <f t="shared" si="55"/>
        <v>3634.36</v>
      </c>
      <c r="BC50" s="66">
        <f t="shared" si="56"/>
        <v>0.9999993478911131</v>
      </c>
      <c r="BD50" s="66">
        <f t="shared" si="46"/>
        <v>0.74</v>
      </c>
      <c r="BE50" s="62">
        <f t="shared" si="57"/>
        <v>5482868</v>
      </c>
      <c r="BF50" s="62">
        <f t="shared" si="58"/>
        <v>1287.97</v>
      </c>
      <c r="BG50" s="66">
        <f t="shared" si="47"/>
        <v>0.2617</v>
      </c>
      <c r="BH50" s="62">
        <f t="shared" si="48"/>
        <v>20954348.61</v>
      </c>
      <c r="BI50" s="62">
        <f t="shared" si="59"/>
        <v>4922.33</v>
      </c>
      <c r="BJ50" s="61">
        <v>4577</v>
      </c>
      <c r="BK50" s="7">
        <v>43</v>
      </c>
      <c r="BL50" s="61" t="s">
        <v>45</v>
      </c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</row>
    <row r="51" spans="1:164" s="7" customFormat="1" ht="12.75">
      <c r="A51" s="60">
        <v>44</v>
      </c>
      <c r="B51" s="61" t="s">
        <v>46</v>
      </c>
      <c r="C51" s="61">
        <v>8447</v>
      </c>
      <c r="D51" s="61">
        <v>4322</v>
      </c>
      <c r="E51" s="62">
        <f t="shared" si="10"/>
        <v>2280705</v>
      </c>
      <c r="F51" s="63">
        <f t="shared" si="49"/>
        <v>735</v>
      </c>
      <c r="G51" s="61">
        <v>1482</v>
      </c>
      <c r="H51" s="62">
        <f t="shared" si="11"/>
        <v>229622</v>
      </c>
      <c r="I51" s="61">
        <f t="shared" si="12"/>
        <v>74</v>
      </c>
      <c r="J51" s="61">
        <v>1213</v>
      </c>
      <c r="K51" s="62">
        <f t="shared" si="13"/>
        <v>5647460</v>
      </c>
      <c r="L51" s="61">
        <f t="shared" si="14"/>
        <v>1820</v>
      </c>
      <c r="M51" s="61">
        <v>295</v>
      </c>
      <c r="N51" s="62">
        <f t="shared" si="15"/>
        <v>549231</v>
      </c>
      <c r="O51" s="61">
        <f t="shared" si="16"/>
        <v>177</v>
      </c>
      <c r="P51" s="61">
        <f t="shared" si="17"/>
        <v>0</v>
      </c>
      <c r="Q51" s="58">
        <f t="shared" si="18"/>
        <v>0</v>
      </c>
      <c r="R51" s="62">
        <f t="shared" si="19"/>
        <v>0</v>
      </c>
      <c r="S51" s="61">
        <f t="shared" si="20"/>
        <v>0</v>
      </c>
      <c r="T51" s="61">
        <f t="shared" si="21"/>
        <v>2806</v>
      </c>
      <c r="U51" s="61">
        <f t="shared" si="22"/>
        <v>11253</v>
      </c>
      <c r="V51" s="62">
        <f t="shared" si="23"/>
        <v>3103</v>
      </c>
      <c r="W51" s="62">
        <f t="shared" si="24"/>
        <v>34918059</v>
      </c>
      <c r="X51" s="65">
        <f>'Tables 6-8 Local Wealth'!M51</f>
        <v>1.0182111</v>
      </c>
      <c r="Y51" s="65">
        <f t="shared" si="25"/>
        <v>0.01146147</v>
      </c>
      <c r="Z51" s="65">
        <f t="shared" si="26"/>
        <v>0.0116702</v>
      </c>
      <c r="AA51" s="62">
        <f t="shared" si="50"/>
        <v>12443885.671705808</v>
      </c>
      <c r="AB51" s="66">
        <f t="shared" si="27"/>
        <v>0.3564</v>
      </c>
      <c r="AC51" s="67">
        <f t="shared" si="28"/>
        <v>22474173.32829419</v>
      </c>
      <c r="AD51" s="66">
        <f t="shared" si="29"/>
        <v>0.6436</v>
      </c>
      <c r="AE51" s="62">
        <f>'Tables 6-8 Local Wealth'!BI51</f>
        <v>18850886.5</v>
      </c>
      <c r="AF51" s="62">
        <f t="shared" si="30"/>
        <v>6407000.8282941915</v>
      </c>
      <c r="AG51" s="70">
        <f t="shared" si="31"/>
        <v>0</v>
      </c>
      <c r="AH51" s="62">
        <f t="shared" si="32"/>
        <v>11522959</v>
      </c>
      <c r="AI51" s="62">
        <f t="shared" si="33"/>
        <v>6407000.8282941915</v>
      </c>
      <c r="AJ51" s="67">
        <f t="shared" si="34"/>
        <v>2492793.211647188</v>
      </c>
      <c r="AK51" s="66">
        <f t="shared" si="35"/>
        <v>0.38907334000000005</v>
      </c>
      <c r="AL51" s="62">
        <f t="shared" si="36"/>
        <v>1990482.933165873</v>
      </c>
      <c r="AM51" s="62">
        <f t="shared" si="37"/>
        <v>8899794.03994138</v>
      </c>
      <c r="AN51" s="62">
        <f t="shared" si="38"/>
        <v>24966966.539941378</v>
      </c>
      <c r="AO51" s="62">
        <f t="shared" si="39"/>
        <v>2955.71996</v>
      </c>
      <c r="AP51" s="62">
        <v>24822155.6659</v>
      </c>
      <c r="AQ51" s="57">
        <f>'[1]Table 4 Formula'!$C51</f>
        <v>8633</v>
      </c>
      <c r="AR51" s="62">
        <f t="shared" si="40"/>
        <v>2875.26</v>
      </c>
      <c r="AS51" s="66">
        <f t="shared" si="51"/>
        <v>0.9727782194900495</v>
      </c>
      <c r="AT51" s="163">
        <f t="shared" si="41"/>
        <v>144810.8740413785</v>
      </c>
      <c r="AU51" s="62">
        <f t="shared" si="52"/>
        <v>144810.8362</v>
      </c>
      <c r="AV51" s="62">
        <f t="shared" si="42"/>
        <v>0</v>
      </c>
      <c r="AW51" s="61">
        <f t="shared" si="53"/>
        <v>0</v>
      </c>
      <c r="AX51" s="62">
        <f t="shared" si="43"/>
        <v>0</v>
      </c>
      <c r="AY51" s="62">
        <f t="shared" si="54"/>
        <v>24287321.220000003</v>
      </c>
      <c r="AZ51" s="62">
        <f t="shared" si="44"/>
        <v>24966966.5021</v>
      </c>
      <c r="BA51" s="62">
        <f t="shared" si="45"/>
        <v>24966966.5021</v>
      </c>
      <c r="BB51" s="62">
        <f t="shared" si="55"/>
        <v>2955.72</v>
      </c>
      <c r="BC51" s="66">
        <f t="shared" si="56"/>
        <v>1.0000000135330818</v>
      </c>
      <c r="BD51" s="66">
        <f t="shared" si="46"/>
        <v>0.57</v>
      </c>
      <c r="BE51" s="62">
        <f t="shared" si="57"/>
        <v>18850886.5</v>
      </c>
      <c r="BF51" s="62">
        <f t="shared" si="58"/>
        <v>2231.67</v>
      </c>
      <c r="BG51" s="66">
        <f t="shared" si="47"/>
        <v>0.4302</v>
      </c>
      <c r="BH51" s="62">
        <f t="shared" si="48"/>
        <v>43817853</v>
      </c>
      <c r="BI51" s="62">
        <f t="shared" si="59"/>
        <v>5187.39</v>
      </c>
      <c r="BJ51" s="61">
        <v>9006</v>
      </c>
      <c r="BK51" s="7">
        <v>44</v>
      </c>
      <c r="BL51" s="61" t="s">
        <v>46</v>
      </c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</row>
    <row r="52" spans="1:164" s="92" customFormat="1" ht="12.75">
      <c r="A52" s="83">
        <v>45</v>
      </c>
      <c r="B52" s="84" t="s">
        <v>47</v>
      </c>
      <c r="C52" s="84">
        <v>9679</v>
      </c>
      <c r="D52" s="84">
        <v>3984</v>
      </c>
      <c r="E52" s="85">
        <f t="shared" si="10"/>
        <v>2100731</v>
      </c>
      <c r="F52" s="86">
        <f t="shared" si="49"/>
        <v>677</v>
      </c>
      <c r="G52" s="84">
        <v>2331</v>
      </c>
      <c r="H52" s="85">
        <f t="shared" si="11"/>
        <v>363051</v>
      </c>
      <c r="I52" s="84">
        <f t="shared" si="12"/>
        <v>117</v>
      </c>
      <c r="J52" s="84">
        <v>1076</v>
      </c>
      <c r="K52" s="85">
        <f t="shared" si="13"/>
        <v>5008242</v>
      </c>
      <c r="L52" s="84">
        <f t="shared" si="14"/>
        <v>1614</v>
      </c>
      <c r="M52" s="84">
        <v>694</v>
      </c>
      <c r="N52" s="85">
        <f t="shared" si="15"/>
        <v>1290848</v>
      </c>
      <c r="O52" s="84">
        <f t="shared" si="16"/>
        <v>416</v>
      </c>
      <c r="P52" s="84">
        <f t="shared" si="17"/>
        <v>0</v>
      </c>
      <c r="Q52" s="87">
        <f t="shared" si="18"/>
        <v>0</v>
      </c>
      <c r="R52" s="85">
        <f t="shared" si="19"/>
        <v>0</v>
      </c>
      <c r="S52" s="84">
        <f t="shared" si="20"/>
        <v>0</v>
      </c>
      <c r="T52" s="84">
        <f t="shared" si="21"/>
        <v>2824</v>
      </c>
      <c r="U52" s="61">
        <f t="shared" si="22"/>
        <v>12503</v>
      </c>
      <c r="V52" s="85">
        <f t="shared" si="23"/>
        <v>3103</v>
      </c>
      <c r="W52" s="85">
        <f t="shared" si="24"/>
        <v>38796809</v>
      </c>
      <c r="X52" s="89">
        <f>'Tables 6-8 Local Wealth'!M52</f>
        <v>1.96814217</v>
      </c>
      <c r="Y52" s="89">
        <f t="shared" si="25"/>
        <v>0.01273463</v>
      </c>
      <c r="Z52" s="89">
        <f t="shared" si="26"/>
        <v>0.02506356</v>
      </c>
      <c r="AA52" s="85">
        <f t="shared" si="50"/>
        <v>26725169.677121118</v>
      </c>
      <c r="AB52" s="90">
        <f t="shared" si="27"/>
        <v>0.6888</v>
      </c>
      <c r="AC52" s="91">
        <f t="shared" si="28"/>
        <v>12071639.322878882</v>
      </c>
      <c r="AD52" s="90">
        <f t="shared" si="29"/>
        <v>0.3112</v>
      </c>
      <c r="AE52" s="85">
        <f>'Tables 6-8 Local Wealth'!BI52</f>
        <v>53248527</v>
      </c>
      <c r="AF52" s="85">
        <f t="shared" si="30"/>
        <v>26523357.322878882</v>
      </c>
      <c r="AG52" s="104">
        <f t="shared" si="31"/>
        <v>0</v>
      </c>
      <c r="AH52" s="85">
        <f t="shared" si="32"/>
        <v>12802947</v>
      </c>
      <c r="AI52" s="85">
        <f t="shared" si="33"/>
        <v>12802947</v>
      </c>
      <c r="AJ52" s="91">
        <f t="shared" si="34"/>
        <v>0</v>
      </c>
      <c r="AK52" s="90">
        <f t="shared" si="35"/>
        <v>0</v>
      </c>
      <c r="AL52" s="85">
        <f t="shared" si="36"/>
        <v>0</v>
      </c>
      <c r="AM52" s="85">
        <f t="shared" si="37"/>
        <v>12802947</v>
      </c>
      <c r="AN52" s="85">
        <f t="shared" si="38"/>
        <v>12071639.322878882</v>
      </c>
      <c r="AO52" s="85">
        <f t="shared" si="39"/>
        <v>1247.19902</v>
      </c>
      <c r="AP52" s="85">
        <v>22008982.099999998</v>
      </c>
      <c r="AQ52" s="100">
        <f>'[1]Table 4 Formula'!$C52</f>
        <v>9751</v>
      </c>
      <c r="AR52" s="85">
        <f t="shared" si="40"/>
        <v>2257.1</v>
      </c>
      <c r="AS52" s="90">
        <f t="shared" si="51"/>
        <v>1.80973522573807</v>
      </c>
      <c r="AT52" s="164">
        <f t="shared" si="41"/>
        <v>0</v>
      </c>
      <c r="AU52" s="85">
        <f t="shared" si="52"/>
        <v>-162511.2</v>
      </c>
      <c r="AV52" s="85">
        <f t="shared" si="42"/>
        <v>9774831.585399998</v>
      </c>
      <c r="AW52" s="84">
        <f t="shared" si="53"/>
        <v>9679</v>
      </c>
      <c r="AX52" s="85">
        <f t="shared" si="43"/>
        <v>1009.9009799979335</v>
      </c>
      <c r="AY52" s="85">
        <f t="shared" si="54"/>
        <v>21846470.9</v>
      </c>
      <c r="AZ52" s="85">
        <f t="shared" si="44"/>
        <v>12071639.3146</v>
      </c>
      <c r="BA52" s="85">
        <f t="shared" si="45"/>
        <v>21846470.9</v>
      </c>
      <c r="BB52" s="85">
        <f t="shared" si="55"/>
        <v>2257.1</v>
      </c>
      <c r="BC52" s="90">
        <f t="shared" si="56"/>
        <v>1.80973522573807</v>
      </c>
      <c r="BD52" s="90">
        <f t="shared" si="46"/>
        <v>0.42</v>
      </c>
      <c r="BE52" s="85">
        <f t="shared" si="57"/>
        <v>29753285.09</v>
      </c>
      <c r="BF52" s="85">
        <f t="shared" si="58"/>
        <v>3074</v>
      </c>
      <c r="BG52" s="90">
        <f t="shared" si="47"/>
        <v>0.5766</v>
      </c>
      <c r="BH52" s="85">
        <f t="shared" si="48"/>
        <v>51599755.99</v>
      </c>
      <c r="BI52" s="85">
        <f t="shared" si="59"/>
        <v>5331.1</v>
      </c>
      <c r="BJ52" s="84">
        <v>10001</v>
      </c>
      <c r="BK52" s="92">
        <v>45</v>
      </c>
      <c r="BL52" s="84" t="s">
        <v>47</v>
      </c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</row>
    <row r="53" spans="1:164" s="7" customFormat="1" ht="12.75">
      <c r="A53" s="60">
        <v>46</v>
      </c>
      <c r="B53" s="61" t="s">
        <v>48</v>
      </c>
      <c r="C53" s="61">
        <v>1405</v>
      </c>
      <c r="D53" s="61">
        <v>1107</v>
      </c>
      <c r="E53" s="62">
        <f t="shared" si="10"/>
        <v>583364</v>
      </c>
      <c r="F53" s="63">
        <f t="shared" si="49"/>
        <v>188</v>
      </c>
      <c r="G53" s="61">
        <v>734</v>
      </c>
      <c r="H53" s="62">
        <f t="shared" si="11"/>
        <v>114811</v>
      </c>
      <c r="I53" s="61">
        <f t="shared" si="12"/>
        <v>37</v>
      </c>
      <c r="J53" s="61">
        <v>263</v>
      </c>
      <c r="K53" s="62">
        <f t="shared" si="13"/>
        <v>1225685</v>
      </c>
      <c r="L53" s="61">
        <f t="shared" si="14"/>
        <v>395</v>
      </c>
      <c r="M53" s="61">
        <v>2</v>
      </c>
      <c r="N53" s="62">
        <f t="shared" si="15"/>
        <v>3103</v>
      </c>
      <c r="O53" s="61">
        <f t="shared" si="16"/>
        <v>1</v>
      </c>
      <c r="P53" s="61">
        <f t="shared" si="17"/>
        <v>6095</v>
      </c>
      <c r="Q53" s="58">
        <f t="shared" si="18"/>
        <v>0.16253</v>
      </c>
      <c r="R53" s="62">
        <f t="shared" si="19"/>
        <v>707484</v>
      </c>
      <c r="S53" s="61">
        <f t="shared" si="20"/>
        <v>228</v>
      </c>
      <c r="T53" s="61">
        <f t="shared" si="21"/>
        <v>849</v>
      </c>
      <c r="U53" s="189">
        <f t="shared" si="22"/>
        <v>2254</v>
      </c>
      <c r="V53" s="62">
        <f t="shared" si="23"/>
        <v>3103</v>
      </c>
      <c r="W53" s="62">
        <f t="shared" si="24"/>
        <v>6994162</v>
      </c>
      <c r="X53" s="65">
        <f>'Tables 6-8 Local Wealth'!M53</f>
        <v>0.51563351</v>
      </c>
      <c r="Y53" s="65">
        <f t="shared" si="25"/>
        <v>0.00229576</v>
      </c>
      <c r="Z53" s="65">
        <f t="shared" si="26"/>
        <v>0.00118377</v>
      </c>
      <c r="AA53" s="62">
        <f t="shared" si="50"/>
        <v>1262249.0224327934</v>
      </c>
      <c r="AB53" s="66">
        <f t="shared" si="27"/>
        <v>0.1805</v>
      </c>
      <c r="AC53" s="67">
        <f t="shared" si="28"/>
        <v>5731912.977567207</v>
      </c>
      <c r="AD53" s="66">
        <f t="shared" si="29"/>
        <v>0.8195</v>
      </c>
      <c r="AE53" s="62">
        <f>'Tables 6-8 Local Wealth'!BI53</f>
        <v>1430592</v>
      </c>
      <c r="AF53" s="62">
        <f t="shared" si="30"/>
        <v>168342.9775672066</v>
      </c>
      <c r="AG53" s="70">
        <f t="shared" si="31"/>
        <v>0</v>
      </c>
      <c r="AH53" s="62">
        <f t="shared" si="32"/>
        <v>2308073</v>
      </c>
      <c r="AI53" s="62">
        <f t="shared" si="33"/>
        <v>168342.9775672066</v>
      </c>
      <c r="AJ53" s="67">
        <f t="shared" si="34"/>
        <v>116261.0093231086</v>
      </c>
      <c r="AK53" s="66">
        <f t="shared" si="35"/>
        <v>0.690619894</v>
      </c>
      <c r="AL53" s="62">
        <f t="shared" si="36"/>
        <v>1477740.1212811533</v>
      </c>
      <c r="AM53" s="62">
        <f t="shared" si="37"/>
        <v>284603.9868903152</v>
      </c>
      <c r="AN53" s="62">
        <f t="shared" si="38"/>
        <v>5848173.986890316</v>
      </c>
      <c r="AO53" s="62">
        <f t="shared" si="39"/>
        <v>4162.40141</v>
      </c>
      <c r="AP53" s="62">
        <v>6119384.7867</v>
      </c>
      <c r="AQ53" s="57">
        <f>'[1]Table 4 Formula'!$C53</f>
        <v>1478</v>
      </c>
      <c r="AR53" s="62">
        <f t="shared" si="40"/>
        <v>4140.31</v>
      </c>
      <c r="AS53" s="66">
        <f t="shared" si="51"/>
        <v>0.9946926286477498</v>
      </c>
      <c r="AT53" s="163">
        <f t="shared" si="41"/>
        <v>0</v>
      </c>
      <c r="AU53" s="62">
        <f t="shared" si="52"/>
        <v>-271210.8056</v>
      </c>
      <c r="AV53" s="62">
        <f t="shared" si="42"/>
        <v>0</v>
      </c>
      <c r="AW53" s="61">
        <f t="shared" si="53"/>
        <v>0</v>
      </c>
      <c r="AX53" s="62">
        <f t="shared" si="43"/>
        <v>0</v>
      </c>
      <c r="AY53" s="62">
        <f t="shared" si="54"/>
        <v>5817135.550000001</v>
      </c>
      <c r="AZ53" s="62">
        <f t="shared" si="44"/>
        <v>5848173.9811</v>
      </c>
      <c r="BA53" s="62">
        <f t="shared" si="45"/>
        <v>5848173.9811</v>
      </c>
      <c r="BB53" s="62">
        <f t="shared" si="55"/>
        <v>4162.4</v>
      </c>
      <c r="BC53" s="66">
        <f t="shared" si="56"/>
        <v>0.9999996612532378</v>
      </c>
      <c r="BD53" s="66">
        <f t="shared" si="46"/>
        <v>0.8</v>
      </c>
      <c r="BE53" s="62">
        <f t="shared" si="57"/>
        <v>1430592</v>
      </c>
      <c r="BF53" s="62">
        <f t="shared" si="58"/>
        <v>1018.21</v>
      </c>
      <c r="BG53" s="66">
        <f t="shared" si="47"/>
        <v>0.1965</v>
      </c>
      <c r="BH53" s="62">
        <f t="shared" si="48"/>
        <v>7278765.98</v>
      </c>
      <c r="BI53" s="62">
        <f t="shared" si="59"/>
        <v>5180.62</v>
      </c>
      <c r="BJ53" s="61">
        <v>1550</v>
      </c>
      <c r="BK53" s="7">
        <v>46</v>
      </c>
      <c r="BL53" s="61" t="s">
        <v>48</v>
      </c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</row>
    <row r="54" spans="1:164" s="7" customFormat="1" ht="12.75">
      <c r="A54" s="60">
        <v>47</v>
      </c>
      <c r="B54" s="61" t="s">
        <v>49</v>
      </c>
      <c r="C54" s="61">
        <v>3866</v>
      </c>
      <c r="D54" s="61">
        <v>2731</v>
      </c>
      <c r="E54" s="62">
        <f t="shared" si="10"/>
        <v>1439792</v>
      </c>
      <c r="F54" s="63">
        <f t="shared" si="49"/>
        <v>464</v>
      </c>
      <c r="G54" s="61">
        <v>1444</v>
      </c>
      <c r="H54" s="62">
        <f t="shared" si="11"/>
        <v>223416</v>
      </c>
      <c r="I54" s="61">
        <f t="shared" si="12"/>
        <v>72</v>
      </c>
      <c r="J54" s="61">
        <v>480</v>
      </c>
      <c r="K54" s="62">
        <f t="shared" si="13"/>
        <v>2234160</v>
      </c>
      <c r="L54" s="61">
        <f t="shared" si="14"/>
        <v>720</v>
      </c>
      <c r="M54" s="61">
        <v>80</v>
      </c>
      <c r="N54" s="62">
        <f t="shared" si="15"/>
        <v>148944</v>
      </c>
      <c r="O54" s="61">
        <f t="shared" si="16"/>
        <v>48</v>
      </c>
      <c r="P54" s="61">
        <f t="shared" si="17"/>
        <v>3634</v>
      </c>
      <c r="Q54" s="58">
        <f t="shared" si="18"/>
        <v>0.09691</v>
      </c>
      <c r="R54" s="62">
        <f t="shared" si="19"/>
        <v>1163625</v>
      </c>
      <c r="S54" s="61">
        <f t="shared" si="20"/>
        <v>375</v>
      </c>
      <c r="T54" s="61">
        <f t="shared" si="21"/>
        <v>1679</v>
      </c>
      <c r="U54" s="61">
        <f t="shared" si="22"/>
        <v>5545</v>
      </c>
      <c r="V54" s="62">
        <f t="shared" si="23"/>
        <v>3103</v>
      </c>
      <c r="W54" s="62">
        <f t="shared" si="24"/>
        <v>17206135</v>
      </c>
      <c r="X54" s="65">
        <f>'Tables 6-8 Local Wealth'!M54</f>
        <v>1.63610825</v>
      </c>
      <c r="Y54" s="65">
        <f t="shared" si="25"/>
        <v>0.00564773</v>
      </c>
      <c r="Z54" s="65">
        <f t="shared" si="26"/>
        <v>0.0092403</v>
      </c>
      <c r="AA54" s="62">
        <f t="shared" si="50"/>
        <v>9852893.418472964</v>
      </c>
      <c r="AB54" s="66">
        <f t="shared" si="27"/>
        <v>0.5726</v>
      </c>
      <c r="AC54" s="67">
        <f t="shared" si="28"/>
        <v>7353241.581527036</v>
      </c>
      <c r="AD54" s="66">
        <f t="shared" si="29"/>
        <v>0.4274</v>
      </c>
      <c r="AE54" s="62">
        <f>'Tables 6-8 Local Wealth'!BI54</f>
        <v>16061156</v>
      </c>
      <c r="AF54" s="62">
        <f t="shared" si="30"/>
        <v>6208262.581527036</v>
      </c>
      <c r="AG54" s="70">
        <f t="shared" si="31"/>
        <v>0</v>
      </c>
      <c r="AH54" s="62">
        <f t="shared" si="32"/>
        <v>5678025</v>
      </c>
      <c r="AI54" s="62">
        <f t="shared" si="33"/>
        <v>5678025</v>
      </c>
      <c r="AJ54" s="67">
        <f t="shared" si="34"/>
        <v>104106.87227625074</v>
      </c>
      <c r="AK54" s="66">
        <f t="shared" si="35"/>
        <v>0.01833505000000013</v>
      </c>
      <c r="AL54" s="62">
        <f t="shared" si="36"/>
        <v>0</v>
      </c>
      <c r="AM54" s="62">
        <f t="shared" si="37"/>
        <v>5782131.87227625</v>
      </c>
      <c r="AN54" s="62">
        <f t="shared" si="38"/>
        <v>7457348.453803286</v>
      </c>
      <c r="AO54" s="62">
        <f t="shared" si="39"/>
        <v>1928.95718</v>
      </c>
      <c r="AP54" s="62">
        <v>9635572.28</v>
      </c>
      <c r="AQ54" s="57">
        <f>'[1]Table 4 Formula'!$C54</f>
        <v>3964</v>
      </c>
      <c r="AR54" s="62">
        <f t="shared" si="40"/>
        <v>2430.77</v>
      </c>
      <c r="AS54" s="66">
        <f t="shared" si="51"/>
        <v>1.2601472055486478</v>
      </c>
      <c r="AT54" s="163">
        <f t="shared" si="41"/>
        <v>0</v>
      </c>
      <c r="AU54" s="62">
        <f t="shared" si="52"/>
        <v>-238215.46</v>
      </c>
      <c r="AV54" s="62">
        <f t="shared" si="42"/>
        <v>1940008.3621000005</v>
      </c>
      <c r="AW54" s="61">
        <f t="shared" si="53"/>
        <v>3866</v>
      </c>
      <c r="AX54" s="62">
        <f t="shared" si="43"/>
        <v>501.81281999482684</v>
      </c>
      <c r="AY54" s="62">
        <f t="shared" si="54"/>
        <v>9397356.82</v>
      </c>
      <c r="AZ54" s="62">
        <f t="shared" si="44"/>
        <v>7457348.4579</v>
      </c>
      <c r="BA54" s="62">
        <f t="shared" si="45"/>
        <v>9397356.82</v>
      </c>
      <c r="BB54" s="62">
        <f t="shared" si="55"/>
        <v>2430.77</v>
      </c>
      <c r="BC54" s="66">
        <f t="shared" si="56"/>
        <v>1.2601472055486478</v>
      </c>
      <c r="BD54" s="66">
        <f t="shared" si="46"/>
        <v>0.41</v>
      </c>
      <c r="BE54" s="62">
        <f t="shared" si="57"/>
        <v>13590910.06</v>
      </c>
      <c r="BF54" s="62">
        <f t="shared" si="58"/>
        <v>3515.5</v>
      </c>
      <c r="BG54" s="66">
        <f t="shared" si="47"/>
        <v>0.5912</v>
      </c>
      <c r="BH54" s="62">
        <f t="shared" si="48"/>
        <v>22988266.88</v>
      </c>
      <c r="BI54" s="62">
        <f t="shared" si="59"/>
        <v>5946.27</v>
      </c>
      <c r="BJ54" s="61">
        <v>4251</v>
      </c>
      <c r="BK54" s="7">
        <v>47</v>
      </c>
      <c r="BL54" s="61" t="s">
        <v>49</v>
      </c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</row>
    <row r="55" spans="1:164" s="7" customFormat="1" ht="12.75">
      <c r="A55" s="60">
        <v>48</v>
      </c>
      <c r="B55" s="61" t="s">
        <v>50</v>
      </c>
      <c r="C55" s="61">
        <v>6363</v>
      </c>
      <c r="D55" s="61">
        <v>4886</v>
      </c>
      <c r="E55" s="62">
        <f t="shared" si="10"/>
        <v>2578593</v>
      </c>
      <c r="F55" s="63">
        <f t="shared" si="49"/>
        <v>831</v>
      </c>
      <c r="G55" s="61">
        <v>2360</v>
      </c>
      <c r="H55" s="62">
        <f t="shared" si="11"/>
        <v>366154</v>
      </c>
      <c r="I55" s="61">
        <f t="shared" si="12"/>
        <v>118</v>
      </c>
      <c r="J55" s="61">
        <v>1314</v>
      </c>
      <c r="K55" s="62">
        <f t="shared" si="13"/>
        <v>6116013</v>
      </c>
      <c r="L55" s="61">
        <f t="shared" si="14"/>
        <v>1971</v>
      </c>
      <c r="M55" s="61">
        <v>88</v>
      </c>
      <c r="N55" s="62">
        <f t="shared" si="15"/>
        <v>164459</v>
      </c>
      <c r="O55" s="61">
        <f t="shared" si="16"/>
        <v>53</v>
      </c>
      <c r="P55" s="61">
        <f t="shared" si="17"/>
        <v>1137</v>
      </c>
      <c r="Q55" s="58">
        <f t="shared" si="18"/>
        <v>0.03032</v>
      </c>
      <c r="R55" s="62">
        <f t="shared" si="19"/>
        <v>598879</v>
      </c>
      <c r="S55" s="61">
        <f t="shared" si="20"/>
        <v>193</v>
      </c>
      <c r="T55" s="61">
        <f t="shared" si="21"/>
        <v>3166</v>
      </c>
      <c r="U55" s="61">
        <f t="shared" si="22"/>
        <v>9529</v>
      </c>
      <c r="V55" s="62">
        <f t="shared" si="23"/>
        <v>3103</v>
      </c>
      <c r="W55" s="62">
        <f t="shared" si="24"/>
        <v>29568487</v>
      </c>
      <c r="X55" s="65">
        <f>'Tables 6-8 Local Wealth'!M55</f>
        <v>0.94644988</v>
      </c>
      <c r="Y55" s="65">
        <f t="shared" si="25"/>
        <v>0.00970553</v>
      </c>
      <c r="Z55" s="65">
        <f t="shared" si="26"/>
        <v>0.0091858</v>
      </c>
      <c r="AA55" s="62">
        <f t="shared" si="50"/>
        <v>9794780.29538099</v>
      </c>
      <c r="AB55" s="66">
        <f t="shared" si="27"/>
        <v>0.3313</v>
      </c>
      <c r="AC55" s="67">
        <f t="shared" si="28"/>
        <v>19773706.704619013</v>
      </c>
      <c r="AD55" s="66">
        <f t="shared" si="29"/>
        <v>0.6687</v>
      </c>
      <c r="AE55" s="62">
        <f>'Tables 6-8 Local Wealth'!BI55</f>
        <v>17066091</v>
      </c>
      <c r="AF55" s="62">
        <f t="shared" si="30"/>
        <v>7271310.704619011</v>
      </c>
      <c r="AG55" s="70">
        <f t="shared" si="31"/>
        <v>0</v>
      </c>
      <c r="AH55" s="62">
        <f t="shared" si="32"/>
        <v>9757601</v>
      </c>
      <c r="AI55" s="62">
        <f t="shared" si="33"/>
        <v>7271310.704619011</v>
      </c>
      <c r="AJ55" s="67">
        <f t="shared" si="34"/>
        <v>3142152.0183213847</v>
      </c>
      <c r="AK55" s="66">
        <f t="shared" si="35"/>
        <v>0.4321300720000001</v>
      </c>
      <c r="AL55" s="62">
        <f t="shared" si="36"/>
        <v>1074400.8043558886</v>
      </c>
      <c r="AM55" s="62">
        <f t="shared" si="37"/>
        <v>10413462.722940397</v>
      </c>
      <c r="AN55" s="62">
        <f t="shared" si="38"/>
        <v>22915858.722940397</v>
      </c>
      <c r="AO55" s="62">
        <f t="shared" si="39"/>
        <v>3601.42366</v>
      </c>
      <c r="AP55" s="62">
        <v>21214354.8651</v>
      </c>
      <c r="AQ55" s="57">
        <f>'[1]Table 4 Formula'!$C55</f>
        <v>6401</v>
      </c>
      <c r="AR55" s="62">
        <f t="shared" si="40"/>
        <v>3314.23</v>
      </c>
      <c r="AS55" s="66">
        <f t="shared" si="51"/>
        <v>0.9202555191743257</v>
      </c>
      <c r="AT55" s="163">
        <f t="shared" si="41"/>
        <v>1701503.8578403965</v>
      </c>
      <c r="AU55" s="62">
        <f t="shared" si="52"/>
        <v>1701503.8835</v>
      </c>
      <c r="AV55" s="62">
        <f t="shared" si="42"/>
        <v>0</v>
      </c>
      <c r="AW55" s="61">
        <f t="shared" si="53"/>
        <v>0</v>
      </c>
      <c r="AX55" s="62">
        <f t="shared" si="43"/>
        <v>0</v>
      </c>
      <c r="AY55" s="62">
        <f t="shared" si="54"/>
        <v>21088445.49</v>
      </c>
      <c r="AZ55" s="62">
        <f t="shared" si="44"/>
        <v>22915858.7486</v>
      </c>
      <c r="BA55" s="62">
        <f t="shared" si="45"/>
        <v>22915858.7486</v>
      </c>
      <c r="BB55" s="62">
        <f t="shared" si="55"/>
        <v>3601.42</v>
      </c>
      <c r="BC55" s="66">
        <f t="shared" si="56"/>
        <v>0.9999989837352266</v>
      </c>
      <c r="BD55" s="66">
        <f t="shared" si="46"/>
        <v>0.57</v>
      </c>
      <c r="BE55" s="62">
        <f t="shared" si="57"/>
        <v>17066091</v>
      </c>
      <c r="BF55" s="62">
        <f t="shared" si="58"/>
        <v>2682.08</v>
      </c>
      <c r="BG55" s="66">
        <f t="shared" si="47"/>
        <v>0.4268</v>
      </c>
      <c r="BH55" s="62">
        <f t="shared" si="48"/>
        <v>39981949.75</v>
      </c>
      <c r="BI55" s="62">
        <f t="shared" si="59"/>
        <v>6283.51</v>
      </c>
      <c r="BJ55" s="61">
        <v>6549</v>
      </c>
      <c r="BK55" s="7">
        <v>48</v>
      </c>
      <c r="BL55" s="61" t="s">
        <v>50</v>
      </c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</row>
    <row r="56" spans="1:164" s="7" customFormat="1" ht="12.75">
      <c r="A56" s="60">
        <v>49</v>
      </c>
      <c r="B56" s="61" t="s">
        <v>51</v>
      </c>
      <c r="C56" s="61">
        <v>15463</v>
      </c>
      <c r="D56" s="61">
        <v>11690</v>
      </c>
      <c r="E56" s="62">
        <f t="shared" si="10"/>
        <v>6165661</v>
      </c>
      <c r="F56" s="63">
        <f t="shared" si="49"/>
        <v>1987</v>
      </c>
      <c r="G56" s="61">
        <v>5641</v>
      </c>
      <c r="H56" s="62">
        <f t="shared" si="11"/>
        <v>875046</v>
      </c>
      <c r="I56" s="61">
        <f t="shared" si="12"/>
        <v>282</v>
      </c>
      <c r="J56" s="61">
        <v>2478</v>
      </c>
      <c r="K56" s="62">
        <f t="shared" si="13"/>
        <v>11533851</v>
      </c>
      <c r="L56" s="61">
        <f t="shared" si="14"/>
        <v>3717</v>
      </c>
      <c r="M56" s="61">
        <v>251</v>
      </c>
      <c r="N56" s="62">
        <f t="shared" si="15"/>
        <v>468553</v>
      </c>
      <c r="O56" s="61">
        <f t="shared" si="16"/>
        <v>151</v>
      </c>
      <c r="P56" s="61">
        <f t="shared" si="17"/>
        <v>0</v>
      </c>
      <c r="Q56" s="58">
        <f t="shared" si="18"/>
        <v>0</v>
      </c>
      <c r="R56" s="62">
        <f t="shared" si="19"/>
        <v>0</v>
      </c>
      <c r="S56" s="61">
        <f t="shared" si="20"/>
        <v>0</v>
      </c>
      <c r="T56" s="61">
        <f t="shared" si="21"/>
        <v>6137</v>
      </c>
      <c r="U56" s="61">
        <f t="shared" si="22"/>
        <v>21600</v>
      </c>
      <c r="V56" s="62">
        <f t="shared" si="23"/>
        <v>3103</v>
      </c>
      <c r="W56" s="62">
        <f t="shared" si="24"/>
        <v>67024800</v>
      </c>
      <c r="X56" s="65">
        <f>'Tables 6-8 Local Wealth'!M56</f>
        <v>0.61571923</v>
      </c>
      <c r="Y56" s="65">
        <f t="shared" si="25"/>
        <v>0.02200016</v>
      </c>
      <c r="Z56" s="65">
        <f t="shared" si="26"/>
        <v>0.01354592</v>
      </c>
      <c r="AA56" s="62">
        <f t="shared" si="50"/>
        <v>14443958.098239375</v>
      </c>
      <c r="AB56" s="66">
        <f t="shared" si="27"/>
        <v>0.2155</v>
      </c>
      <c r="AC56" s="67">
        <f t="shared" si="28"/>
        <v>52580841.90176062</v>
      </c>
      <c r="AD56" s="66">
        <f t="shared" si="29"/>
        <v>0.7845</v>
      </c>
      <c r="AE56" s="62">
        <f>'Tables 6-8 Local Wealth'!BI56</f>
        <v>20340374.5</v>
      </c>
      <c r="AF56" s="62">
        <f t="shared" si="30"/>
        <v>5896416.401760625</v>
      </c>
      <c r="AG56" s="70">
        <f t="shared" si="31"/>
        <v>0</v>
      </c>
      <c r="AH56" s="62">
        <f t="shared" si="32"/>
        <v>22118184</v>
      </c>
      <c r="AI56" s="62">
        <f t="shared" si="33"/>
        <v>5896416.401760625</v>
      </c>
      <c r="AJ56" s="67">
        <f t="shared" si="34"/>
        <v>3718094.2217697715</v>
      </c>
      <c r="AK56" s="66">
        <f t="shared" si="35"/>
        <v>0.630568462</v>
      </c>
      <c r="AL56" s="62">
        <f t="shared" si="36"/>
        <v>10228935.045343239</v>
      </c>
      <c r="AM56" s="62">
        <f t="shared" si="37"/>
        <v>9614510.623530395</v>
      </c>
      <c r="AN56" s="62">
        <f t="shared" si="38"/>
        <v>56298936.123530395</v>
      </c>
      <c r="AO56" s="62">
        <f t="shared" si="39"/>
        <v>3640.88056</v>
      </c>
      <c r="AP56" s="62">
        <v>52327518.9254</v>
      </c>
      <c r="AQ56" s="57">
        <f>'[1]Table 4 Formula'!$C56</f>
        <v>15736</v>
      </c>
      <c r="AR56" s="62">
        <f t="shared" si="40"/>
        <v>3325.34</v>
      </c>
      <c r="AS56" s="66">
        <f t="shared" si="51"/>
        <v>0.9133339985204019</v>
      </c>
      <c r="AT56" s="163">
        <f t="shared" si="41"/>
        <v>3971417.198130399</v>
      </c>
      <c r="AU56" s="62">
        <f t="shared" si="52"/>
        <v>3971417.1739</v>
      </c>
      <c r="AV56" s="62">
        <f t="shared" si="42"/>
        <v>0</v>
      </c>
      <c r="AW56" s="61">
        <f t="shared" si="53"/>
        <v>0</v>
      </c>
      <c r="AX56" s="62">
        <f t="shared" si="43"/>
        <v>0</v>
      </c>
      <c r="AY56" s="62">
        <f t="shared" si="54"/>
        <v>51419732.42</v>
      </c>
      <c r="AZ56" s="62">
        <f t="shared" si="44"/>
        <v>56298936.0993</v>
      </c>
      <c r="BA56" s="62">
        <f t="shared" si="45"/>
        <v>56298936.0993</v>
      </c>
      <c r="BB56" s="62">
        <f t="shared" si="55"/>
        <v>3640.88</v>
      </c>
      <c r="BC56" s="66">
        <f t="shared" si="56"/>
        <v>0.9999998461910544</v>
      </c>
      <c r="BD56" s="66">
        <f t="shared" si="46"/>
        <v>0.73</v>
      </c>
      <c r="BE56" s="62">
        <f t="shared" si="57"/>
        <v>20340374.5</v>
      </c>
      <c r="BF56" s="62">
        <f t="shared" si="58"/>
        <v>1315.42</v>
      </c>
      <c r="BG56" s="66">
        <f t="shared" si="47"/>
        <v>0.2654</v>
      </c>
      <c r="BH56" s="62">
        <f t="shared" si="48"/>
        <v>76639310.6</v>
      </c>
      <c r="BI56" s="62">
        <f t="shared" si="59"/>
        <v>4956.3</v>
      </c>
      <c r="BJ56" s="61">
        <v>16613</v>
      </c>
      <c r="BK56" s="7">
        <v>49</v>
      </c>
      <c r="BL56" s="61" t="s">
        <v>51</v>
      </c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</row>
    <row r="57" spans="1:164" s="92" customFormat="1" ht="12.75">
      <c r="A57" s="83">
        <v>50</v>
      </c>
      <c r="B57" s="84" t="s">
        <v>52</v>
      </c>
      <c r="C57" s="84">
        <v>8558</v>
      </c>
      <c r="D57" s="84">
        <v>5893</v>
      </c>
      <c r="E57" s="85">
        <f t="shared" si="10"/>
        <v>3109206</v>
      </c>
      <c r="F57" s="86">
        <f t="shared" si="49"/>
        <v>1002</v>
      </c>
      <c r="G57" s="84">
        <v>2888</v>
      </c>
      <c r="H57" s="85">
        <f t="shared" si="11"/>
        <v>446832</v>
      </c>
      <c r="I57" s="84">
        <f t="shared" si="12"/>
        <v>144</v>
      </c>
      <c r="J57" s="84">
        <v>1350</v>
      </c>
      <c r="K57" s="85">
        <f t="shared" si="13"/>
        <v>6283575</v>
      </c>
      <c r="L57" s="84">
        <f t="shared" si="14"/>
        <v>2025</v>
      </c>
      <c r="M57" s="84">
        <v>55</v>
      </c>
      <c r="N57" s="85">
        <f t="shared" si="15"/>
        <v>102399</v>
      </c>
      <c r="O57" s="84">
        <f t="shared" si="16"/>
        <v>33</v>
      </c>
      <c r="P57" s="84">
        <f t="shared" si="17"/>
        <v>0</v>
      </c>
      <c r="Q57" s="87">
        <f t="shared" si="18"/>
        <v>0</v>
      </c>
      <c r="R57" s="85">
        <f t="shared" si="19"/>
        <v>0</v>
      </c>
      <c r="S57" s="84">
        <f t="shared" si="20"/>
        <v>0</v>
      </c>
      <c r="T57" s="84">
        <f t="shared" si="21"/>
        <v>3204</v>
      </c>
      <c r="U57" s="61">
        <f t="shared" si="22"/>
        <v>11762</v>
      </c>
      <c r="V57" s="85">
        <f t="shared" si="23"/>
        <v>3103</v>
      </c>
      <c r="W57" s="85">
        <f t="shared" si="24"/>
        <v>36497486</v>
      </c>
      <c r="X57" s="89">
        <f>'Tables 6-8 Local Wealth'!M57</f>
        <v>0.55910497</v>
      </c>
      <c r="Y57" s="89">
        <f t="shared" si="25"/>
        <v>0.0119799</v>
      </c>
      <c r="Z57" s="89">
        <f t="shared" si="26"/>
        <v>0.00669802</v>
      </c>
      <c r="AA57" s="85">
        <f t="shared" si="50"/>
        <v>7142070.83912863</v>
      </c>
      <c r="AB57" s="90">
        <f t="shared" si="27"/>
        <v>0.1957</v>
      </c>
      <c r="AC57" s="91">
        <f t="shared" si="28"/>
        <v>29355415.16087137</v>
      </c>
      <c r="AD57" s="90">
        <f t="shared" si="29"/>
        <v>0.8043</v>
      </c>
      <c r="AE57" s="85">
        <f>'Tables 6-8 Local Wealth'!BI57</f>
        <v>11383336</v>
      </c>
      <c r="AF57" s="85">
        <f t="shared" si="30"/>
        <v>4241265.16087137</v>
      </c>
      <c r="AG57" s="104">
        <f t="shared" si="31"/>
        <v>0</v>
      </c>
      <c r="AH57" s="85">
        <f t="shared" si="32"/>
        <v>12044170</v>
      </c>
      <c r="AI57" s="85">
        <f t="shared" si="33"/>
        <v>4241265.16087137</v>
      </c>
      <c r="AJ57" s="91">
        <f t="shared" si="34"/>
        <v>2818477.7025527502</v>
      </c>
      <c r="AK57" s="90">
        <f t="shared" si="35"/>
        <v>0.664537018</v>
      </c>
      <c r="AL57" s="85">
        <f t="shared" si="36"/>
        <v>5185319.11353231</v>
      </c>
      <c r="AM57" s="85">
        <f t="shared" si="37"/>
        <v>7059742.8634241205</v>
      </c>
      <c r="AN57" s="85">
        <f t="shared" si="38"/>
        <v>32173892.863424122</v>
      </c>
      <c r="AO57" s="85">
        <f t="shared" si="39"/>
        <v>3759.51073</v>
      </c>
      <c r="AP57" s="85">
        <v>31090805.3546</v>
      </c>
      <c r="AQ57" s="100">
        <f>'[1]Table 4 Formula'!$C57</f>
        <v>8559</v>
      </c>
      <c r="AR57" s="85">
        <f t="shared" si="40"/>
        <v>3632.53</v>
      </c>
      <c r="AS57" s="90">
        <f t="shared" si="51"/>
        <v>0.9662241341707782</v>
      </c>
      <c r="AT57" s="164">
        <f t="shared" si="41"/>
        <v>1083087.5088241212</v>
      </c>
      <c r="AU57" s="85">
        <f t="shared" si="52"/>
        <v>1083087.4727</v>
      </c>
      <c r="AV57" s="85">
        <f t="shared" si="42"/>
        <v>0</v>
      </c>
      <c r="AW57" s="84">
        <f t="shared" si="53"/>
        <v>0</v>
      </c>
      <c r="AX57" s="85">
        <f t="shared" si="43"/>
        <v>0</v>
      </c>
      <c r="AY57" s="85">
        <f t="shared" si="54"/>
        <v>31087191.740000002</v>
      </c>
      <c r="AZ57" s="85">
        <f t="shared" si="44"/>
        <v>32173892.8273</v>
      </c>
      <c r="BA57" s="85">
        <f t="shared" si="45"/>
        <v>32173892.8273</v>
      </c>
      <c r="BB57" s="85">
        <f t="shared" si="55"/>
        <v>3759.51</v>
      </c>
      <c r="BC57" s="90">
        <f t="shared" si="56"/>
        <v>0.999999805825797</v>
      </c>
      <c r="BD57" s="90">
        <f t="shared" si="46"/>
        <v>0.74</v>
      </c>
      <c r="BE57" s="85">
        <f t="shared" si="57"/>
        <v>11383336</v>
      </c>
      <c r="BF57" s="85">
        <f t="shared" si="58"/>
        <v>1330.14</v>
      </c>
      <c r="BG57" s="90">
        <f t="shared" si="47"/>
        <v>0.2613</v>
      </c>
      <c r="BH57" s="85">
        <f t="shared" si="48"/>
        <v>43557228.83</v>
      </c>
      <c r="BI57" s="85">
        <f t="shared" si="59"/>
        <v>5089.65</v>
      </c>
      <c r="BJ57" s="84">
        <v>8863</v>
      </c>
      <c r="BK57" s="92">
        <v>50</v>
      </c>
      <c r="BL57" s="84" t="s">
        <v>52</v>
      </c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</row>
    <row r="58" spans="1:164" s="7" customFormat="1" ht="12.75">
      <c r="A58" s="60">
        <v>51</v>
      </c>
      <c r="B58" s="61" t="s">
        <v>53</v>
      </c>
      <c r="C58" s="61">
        <v>10536</v>
      </c>
      <c r="D58" s="61">
        <v>6948</v>
      </c>
      <c r="E58" s="62">
        <f t="shared" si="10"/>
        <v>3664643</v>
      </c>
      <c r="F58" s="63">
        <f t="shared" si="49"/>
        <v>1181</v>
      </c>
      <c r="G58" s="61">
        <v>2079</v>
      </c>
      <c r="H58" s="62">
        <f t="shared" si="11"/>
        <v>322712</v>
      </c>
      <c r="I58" s="61">
        <f t="shared" si="12"/>
        <v>104</v>
      </c>
      <c r="J58" s="61">
        <v>1582</v>
      </c>
      <c r="K58" s="62">
        <f t="shared" si="13"/>
        <v>7363419</v>
      </c>
      <c r="L58" s="61">
        <f t="shared" si="14"/>
        <v>2373</v>
      </c>
      <c r="M58" s="61">
        <v>206</v>
      </c>
      <c r="N58" s="62">
        <f t="shared" si="15"/>
        <v>384772</v>
      </c>
      <c r="O58" s="61">
        <f t="shared" si="16"/>
        <v>124</v>
      </c>
      <c r="P58" s="61">
        <f t="shared" si="17"/>
        <v>0</v>
      </c>
      <c r="Q58" s="58">
        <f t="shared" si="18"/>
        <v>0</v>
      </c>
      <c r="R58" s="62">
        <f t="shared" si="19"/>
        <v>0</v>
      </c>
      <c r="S58" s="61">
        <f t="shared" si="20"/>
        <v>0</v>
      </c>
      <c r="T58" s="61">
        <f t="shared" si="21"/>
        <v>3782</v>
      </c>
      <c r="U58" s="189">
        <f t="shared" si="22"/>
        <v>14318</v>
      </c>
      <c r="V58" s="62">
        <f t="shared" si="23"/>
        <v>3103</v>
      </c>
      <c r="W58" s="62">
        <f t="shared" si="24"/>
        <v>44428754</v>
      </c>
      <c r="X58" s="65">
        <f>'Tables 6-8 Local Wealth'!M58</f>
        <v>0.91133096</v>
      </c>
      <c r="Y58" s="65">
        <f t="shared" si="25"/>
        <v>0.01458325</v>
      </c>
      <c r="Z58" s="65">
        <f t="shared" si="26"/>
        <v>0.01329017</v>
      </c>
      <c r="AA58" s="62">
        <f t="shared" si="50"/>
        <v>14171252.938041713</v>
      </c>
      <c r="AB58" s="66">
        <f t="shared" si="27"/>
        <v>0.319</v>
      </c>
      <c r="AC58" s="67">
        <f t="shared" si="28"/>
        <v>30257501.061958287</v>
      </c>
      <c r="AD58" s="66">
        <f t="shared" si="29"/>
        <v>0.681</v>
      </c>
      <c r="AE58" s="62">
        <f>'Tables 6-8 Local Wealth'!BI58</f>
        <v>22071641</v>
      </c>
      <c r="AF58" s="62">
        <f t="shared" si="30"/>
        <v>7900388.061958287</v>
      </c>
      <c r="AG58" s="70">
        <f t="shared" si="31"/>
        <v>0</v>
      </c>
      <c r="AH58" s="62">
        <f t="shared" si="32"/>
        <v>14661489</v>
      </c>
      <c r="AI58" s="62">
        <f t="shared" si="33"/>
        <v>7900388.061958287</v>
      </c>
      <c r="AJ58" s="67">
        <f t="shared" si="34"/>
        <v>3580467.1198320957</v>
      </c>
      <c r="AK58" s="66">
        <f t="shared" si="35"/>
        <v>0.45320142399999996</v>
      </c>
      <c r="AL58" s="62">
        <f t="shared" si="36"/>
        <v>3064140.5729282396</v>
      </c>
      <c r="AM58" s="62">
        <f t="shared" si="37"/>
        <v>11480855.181790382</v>
      </c>
      <c r="AN58" s="62">
        <f t="shared" si="38"/>
        <v>33837968.18179038</v>
      </c>
      <c r="AO58" s="62">
        <f t="shared" si="39"/>
        <v>3211.65226</v>
      </c>
      <c r="AP58" s="62">
        <v>32740714.815</v>
      </c>
      <c r="AQ58" s="57">
        <f>'[1]Table 4 Formula'!$C58</f>
        <v>10837</v>
      </c>
      <c r="AR58" s="62">
        <f t="shared" si="40"/>
        <v>3021.2</v>
      </c>
      <c r="AS58" s="66">
        <f t="shared" si="51"/>
        <v>0.9406996011454863</v>
      </c>
      <c r="AT58" s="163">
        <f t="shared" si="41"/>
        <v>1097253.3667903803</v>
      </c>
      <c r="AU58" s="62">
        <f t="shared" si="52"/>
        <v>1097253.3964</v>
      </c>
      <c r="AV58" s="62">
        <f t="shared" si="42"/>
        <v>0</v>
      </c>
      <c r="AW58" s="61">
        <f t="shared" si="53"/>
        <v>0</v>
      </c>
      <c r="AX58" s="62">
        <f t="shared" si="43"/>
        <v>0</v>
      </c>
      <c r="AY58" s="62">
        <f t="shared" si="54"/>
        <v>31831363.2</v>
      </c>
      <c r="AZ58" s="62">
        <f t="shared" si="44"/>
        <v>33837968.2114</v>
      </c>
      <c r="BA58" s="62">
        <f t="shared" si="45"/>
        <v>33837968.2114</v>
      </c>
      <c r="BB58" s="62">
        <f t="shared" si="55"/>
        <v>3211.65</v>
      </c>
      <c r="BC58" s="66">
        <f t="shared" si="56"/>
        <v>0.9999992963123598</v>
      </c>
      <c r="BD58" s="66">
        <f t="shared" si="46"/>
        <v>0.61</v>
      </c>
      <c r="BE58" s="62">
        <f t="shared" si="57"/>
        <v>22071641</v>
      </c>
      <c r="BF58" s="62">
        <f t="shared" si="58"/>
        <v>2094.88</v>
      </c>
      <c r="BG58" s="66">
        <f t="shared" si="47"/>
        <v>0.3948</v>
      </c>
      <c r="BH58" s="62">
        <f t="shared" si="48"/>
        <v>55909609.21</v>
      </c>
      <c r="BI58" s="62">
        <f t="shared" si="59"/>
        <v>5306.53</v>
      </c>
      <c r="BJ58" s="61">
        <v>11345</v>
      </c>
      <c r="BK58" s="7">
        <v>51</v>
      </c>
      <c r="BL58" s="61" t="s">
        <v>53</v>
      </c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</row>
    <row r="59" spans="1:164" s="7" customFormat="1" ht="12.75">
      <c r="A59" s="60">
        <v>52</v>
      </c>
      <c r="B59" s="61" t="s">
        <v>54</v>
      </c>
      <c r="C59" s="61">
        <v>32502</v>
      </c>
      <c r="D59" s="61">
        <v>8897</v>
      </c>
      <c r="E59" s="62">
        <f t="shared" si="10"/>
        <v>4691736</v>
      </c>
      <c r="F59" s="63">
        <f t="shared" si="49"/>
        <v>1512</v>
      </c>
      <c r="G59" s="61">
        <v>5936</v>
      </c>
      <c r="H59" s="62">
        <f t="shared" si="11"/>
        <v>921591</v>
      </c>
      <c r="I59" s="61">
        <f t="shared" si="12"/>
        <v>297</v>
      </c>
      <c r="J59" s="61">
        <v>5202</v>
      </c>
      <c r="K59" s="62">
        <f t="shared" si="13"/>
        <v>24212709</v>
      </c>
      <c r="L59" s="61">
        <f t="shared" si="14"/>
        <v>7803</v>
      </c>
      <c r="M59" s="61">
        <v>2894</v>
      </c>
      <c r="N59" s="62">
        <f t="shared" si="15"/>
        <v>5386808</v>
      </c>
      <c r="O59" s="61">
        <f t="shared" si="16"/>
        <v>1736</v>
      </c>
      <c r="P59" s="61">
        <f t="shared" si="17"/>
        <v>0</v>
      </c>
      <c r="Q59" s="58">
        <f t="shared" si="18"/>
        <v>0</v>
      </c>
      <c r="R59" s="62">
        <f t="shared" si="19"/>
        <v>0</v>
      </c>
      <c r="S59" s="61">
        <f t="shared" si="20"/>
        <v>0</v>
      </c>
      <c r="T59" s="61">
        <f t="shared" si="21"/>
        <v>11348</v>
      </c>
      <c r="U59" s="61">
        <f t="shared" si="22"/>
        <v>43850</v>
      </c>
      <c r="V59" s="62">
        <f t="shared" si="23"/>
        <v>3103</v>
      </c>
      <c r="W59" s="62">
        <f t="shared" si="24"/>
        <v>136066550</v>
      </c>
      <c r="X59" s="65">
        <f>'Tables 6-8 Local Wealth'!M59</f>
        <v>0.84484656</v>
      </c>
      <c r="Y59" s="65">
        <f t="shared" si="25"/>
        <v>0.04466236</v>
      </c>
      <c r="Z59" s="65">
        <f t="shared" si="26"/>
        <v>0.03773284</v>
      </c>
      <c r="AA59" s="62">
        <f t="shared" si="50"/>
        <v>40234370.193207294</v>
      </c>
      <c r="AB59" s="66">
        <f t="shared" si="27"/>
        <v>0.2957</v>
      </c>
      <c r="AC59" s="67">
        <f t="shared" si="28"/>
        <v>95832179.8067927</v>
      </c>
      <c r="AD59" s="66">
        <f t="shared" si="29"/>
        <v>0.7043</v>
      </c>
      <c r="AE59" s="62">
        <f>'Tables 6-8 Local Wealth'!BI59</f>
        <v>89812447</v>
      </c>
      <c r="AF59" s="62">
        <f t="shared" si="30"/>
        <v>49578076.806792706</v>
      </c>
      <c r="AG59" s="70">
        <f t="shared" si="31"/>
        <v>0</v>
      </c>
      <c r="AH59" s="62">
        <f t="shared" si="32"/>
        <v>44901962</v>
      </c>
      <c r="AI59" s="62">
        <f t="shared" si="33"/>
        <v>44901962</v>
      </c>
      <c r="AJ59" s="67">
        <f t="shared" si="34"/>
        <v>22140801.120229572</v>
      </c>
      <c r="AK59" s="66">
        <f t="shared" si="35"/>
        <v>0.4930920640000001</v>
      </c>
      <c r="AL59" s="62">
        <f t="shared" si="36"/>
        <v>0</v>
      </c>
      <c r="AM59" s="62">
        <f t="shared" si="37"/>
        <v>67042763.12022957</v>
      </c>
      <c r="AN59" s="62">
        <f t="shared" si="38"/>
        <v>117972980.92702228</v>
      </c>
      <c r="AO59" s="62">
        <f t="shared" si="39"/>
        <v>3629.71451</v>
      </c>
      <c r="AP59" s="62">
        <v>114710469.4422</v>
      </c>
      <c r="AQ59" s="57">
        <f>'[1]Table 4 Formula'!$C59</f>
        <v>32286</v>
      </c>
      <c r="AR59" s="62">
        <f t="shared" si="40"/>
        <v>3552.95</v>
      </c>
      <c r="AS59" s="66">
        <f t="shared" si="51"/>
        <v>0.978851088759595</v>
      </c>
      <c r="AT59" s="163">
        <f t="shared" si="41"/>
        <v>3262511.4848222733</v>
      </c>
      <c r="AU59" s="62">
        <f t="shared" si="52"/>
        <v>3262511.5618</v>
      </c>
      <c r="AV59" s="62">
        <f t="shared" si="42"/>
        <v>0</v>
      </c>
      <c r="AW59" s="61">
        <f t="shared" si="53"/>
        <v>0</v>
      </c>
      <c r="AX59" s="62">
        <f t="shared" si="43"/>
        <v>0</v>
      </c>
      <c r="AY59" s="62">
        <f t="shared" si="54"/>
        <v>114710469.4422</v>
      </c>
      <c r="AZ59" s="62">
        <f t="shared" si="44"/>
        <v>117972981.004</v>
      </c>
      <c r="BA59" s="62">
        <f t="shared" si="45"/>
        <v>117972981.004</v>
      </c>
      <c r="BB59" s="62">
        <f t="shared" si="55"/>
        <v>3629.71</v>
      </c>
      <c r="BC59" s="66">
        <f t="shared" si="56"/>
        <v>0.9999987574780366</v>
      </c>
      <c r="BD59" s="66">
        <f t="shared" si="46"/>
        <v>0.58</v>
      </c>
      <c r="BE59" s="62">
        <f t="shared" si="57"/>
        <v>85136332.19</v>
      </c>
      <c r="BF59" s="62">
        <f t="shared" si="58"/>
        <v>2619.42</v>
      </c>
      <c r="BG59" s="66">
        <f t="shared" si="47"/>
        <v>0.4192</v>
      </c>
      <c r="BH59" s="62">
        <f t="shared" si="48"/>
        <v>203109313.19</v>
      </c>
      <c r="BI59" s="62">
        <f t="shared" si="59"/>
        <v>6249.13</v>
      </c>
      <c r="BJ59" s="61">
        <v>32355</v>
      </c>
      <c r="BK59" s="7">
        <v>52</v>
      </c>
      <c r="BL59" s="61" t="s">
        <v>54</v>
      </c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</row>
    <row r="60" spans="1:164" s="7" customFormat="1" ht="12.75">
      <c r="A60" s="60">
        <v>53</v>
      </c>
      <c r="B60" s="61" t="s">
        <v>55</v>
      </c>
      <c r="C60" s="61">
        <v>18123</v>
      </c>
      <c r="D60" s="61">
        <v>11976</v>
      </c>
      <c r="E60" s="62">
        <f t="shared" si="10"/>
        <v>6317708</v>
      </c>
      <c r="F60" s="63">
        <f t="shared" si="49"/>
        <v>2036</v>
      </c>
      <c r="G60" s="61">
        <v>4187</v>
      </c>
      <c r="H60" s="62">
        <f t="shared" si="11"/>
        <v>648527</v>
      </c>
      <c r="I60" s="61">
        <f t="shared" si="12"/>
        <v>209</v>
      </c>
      <c r="J60" s="61">
        <v>2672</v>
      </c>
      <c r="K60" s="62">
        <f t="shared" si="13"/>
        <v>12436824</v>
      </c>
      <c r="L60" s="61">
        <f t="shared" si="14"/>
        <v>4008</v>
      </c>
      <c r="M60" s="61">
        <v>213</v>
      </c>
      <c r="N60" s="62">
        <f t="shared" si="15"/>
        <v>397184</v>
      </c>
      <c r="O60" s="61">
        <f t="shared" si="16"/>
        <v>128</v>
      </c>
      <c r="P60" s="61">
        <f t="shared" si="17"/>
        <v>0</v>
      </c>
      <c r="Q60" s="58">
        <f t="shared" si="18"/>
        <v>0</v>
      </c>
      <c r="R60" s="62">
        <f t="shared" si="19"/>
        <v>0</v>
      </c>
      <c r="S60" s="61">
        <f t="shared" si="20"/>
        <v>0</v>
      </c>
      <c r="T60" s="61">
        <f t="shared" si="21"/>
        <v>6381</v>
      </c>
      <c r="U60" s="61">
        <f t="shared" si="22"/>
        <v>24504</v>
      </c>
      <c r="V60" s="62">
        <f t="shared" si="23"/>
        <v>3103</v>
      </c>
      <c r="W60" s="62">
        <f t="shared" si="24"/>
        <v>76035912</v>
      </c>
      <c r="X60" s="65">
        <f>'Tables 6-8 Local Wealth'!M60</f>
        <v>0.62415866</v>
      </c>
      <c r="Y60" s="65">
        <f t="shared" si="25"/>
        <v>0.02495796</v>
      </c>
      <c r="Z60" s="65">
        <f t="shared" si="26"/>
        <v>0.01557773</v>
      </c>
      <c r="AA60" s="62">
        <f t="shared" si="50"/>
        <v>16610468.641900029</v>
      </c>
      <c r="AB60" s="66">
        <f t="shared" si="27"/>
        <v>0.2185</v>
      </c>
      <c r="AC60" s="67">
        <f t="shared" si="28"/>
        <v>59425443.35809997</v>
      </c>
      <c r="AD60" s="66">
        <f t="shared" si="29"/>
        <v>0.7815</v>
      </c>
      <c r="AE60" s="62">
        <f>'Tables 6-8 Local Wealth'!BI60</f>
        <v>24574630</v>
      </c>
      <c r="AF60" s="62">
        <f t="shared" si="30"/>
        <v>7964161.358099971</v>
      </c>
      <c r="AG60" s="70">
        <f t="shared" si="31"/>
        <v>0</v>
      </c>
      <c r="AH60" s="62">
        <f t="shared" si="32"/>
        <v>25091851</v>
      </c>
      <c r="AI60" s="62">
        <f t="shared" si="33"/>
        <v>7964161.358099971</v>
      </c>
      <c r="AJ60" s="67">
        <f t="shared" si="34"/>
        <v>4981621.189322696</v>
      </c>
      <c r="AK60" s="66">
        <f t="shared" si="35"/>
        <v>0.625504804</v>
      </c>
      <c r="AL60" s="62">
        <f t="shared" si="36"/>
        <v>10713452.152429506</v>
      </c>
      <c r="AM60" s="62">
        <f t="shared" si="37"/>
        <v>12945782.547422666</v>
      </c>
      <c r="AN60" s="62">
        <f t="shared" si="38"/>
        <v>64407064.54742266</v>
      </c>
      <c r="AO60" s="62">
        <f t="shared" si="39"/>
        <v>3553.88537</v>
      </c>
      <c r="AP60" s="62">
        <v>63769025.9159</v>
      </c>
      <c r="AQ60" s="57">
        <f>'[1]Table 4 Formula'!$C60</f>
        <v>18498</v>
      </c>
      <c r="AR60" s="62">
        <f t="shared" si="40"/>
        <v>3447.35</v>
      </c>
      <c r="AS60" s="66">
        <f t="shared" si="51"/>
        <v>0.9700228457284203</v>
      </c>
      <c r="AT60" s="163">
        <f t="shared" si="41"/>
        <v>638038.6315226629</v>
      </c>
      <c r="AU60" s="62">
        <f t="shared" si="52"/>
        <v>638038.6446</v>
      </c>
      <c r="AV60" s="62">
        <f t="shared" si="42"/>
        <v>0</v>
      </c>
      <c r="AW60" s="61">
        <f t="shared" si="53"/>
        <v>0</v>
      </c>
      <c r="AX60" s="62">
        <f t="shared" si="43"/>
        <v>0</v>
      </c>
      <c r="AY60" s="62">
        <f t="shared" si="54"/>
        <v>62476324.05</v>
      </c>
      <c r="AZ60" s="62">
        <f t="shared" si="44"/>
        <v>64407064.5605</v>
      </c>
      <c r="BA60" s="62">
        <f t="shared" si="45"/>
        <v>64407064.5605</v>
      </c>
      <c r="BB60" s="62">
        <f t="shared" si="55"/>
        <v>3553.89</v>
      </c>
      <c r="BC60" s="66">
        <f t="shared" si="56"/>
        <v>1.0000013027994765</v>
      </c>
      <c r="BD60" s="66">
        <f t="shared" si="46"/>
        <v>0.72</v>
      </c>
      <c r="BE60" s="62">
        <f t="shared" si="57"/>
        <v>24574630</v>
      </c>
      <c r="BF60" s="62">
        <f t="shared" si="58"/>
        <v>1355.99</v>
      </c>
      <c r="BG60" s="66">
        <f t="shared" si="47"/>
        <v>0.2762</v>
      </c>
      <c r="BH60" s="62">
        <f t="shared" si="48"/>
        <v>88981694.56</v>
      </c>
      <c r="BI60" s="62">
        <f t="shared" si="59"/>
        <v>4909.88</v>
      </c>
      <c r="BJ60" s="61">
        <v>18615</v>
      </c>
      <c r="BK60" s="7">
        <v>53</v>
      </c>
      <c r="BL60" s="61" t="s">
        <v>55</v>
      </c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</row>
    <row r="61" spans="1:164" s="7" customFormat="1" ht="12.75">
      <c r="A61" s="60">
        <v>54</v>
      </c>
      <c r="B61" s="61" t="s">
        <v>56</v>
      </c>
      <c r="C61" s="61">
        <v>1028</v>
      </c>
      <c r="D61" s="61">
        <v>852</v>
      </c>
      <c r="E61" s="62">
        <f t="shared" si="10"/>
        <v>449935</v>
      </c>
      <c r="F61" s="63">
        <f t="shared" si="49"/>
        <v>145</v>
      </c>
      <c r="G61" s="61">
        <v>546</v>
      </c>
      <c r="H61" s="62">
        <f t="shared" si="11"/>
        <v>83781</v>
      </c>
      <c r="I61" s="61">
        <f t="shared" si="12"/>
        <v>27</v>
      </c>
      <c r="J61" s="61">
        <v>229</v>
      </c>
      <c r="K61" s="62">
        <f t="shared" si="13"/>
        <v>1067432</v>
      </c>
      <c r="L61" s="61">
        <f t="shared" si="14"/>
        <v>344</v>
      </c>
      <c r="M61" s="61">
        <v>78</v>
      </c>
      <c r="N61" s="62">
        <f t="shared" si="15"/>
        <v>145841</v>
      </c>
      <c r="O61" s="61">
        <f t="shared" si="16"/>
        <v>47</v>
      </c>
      <c r="P61" s="61">
        <f t="shared" si="17"/>
        <v>6472</v>
      </c>
      <c r="Q61" s="58">
        <f t="shared" si="18"/>
        <v>0.17259</v>
      </c>
      <c r="R61" s="62">
        <f t="shared" si="19"/>
        <v>549231</v>
      </c>
      <c r="S61" s="61">
        <f t="shared" si="20"/>
        <v>177</v>
      </c>
      <c r="T61" s="61">
        <f t="shared" si="21"/>
        <v>740</v>
      </c>
      <c r="U61" s="61">
        <f t="shared" si="22"/>
        <v>1768</v>
      </c>
      <c r="V61" s="62">
        <f t="shared" si="23"/>
        <v>3103</v>
      </c>
      <c r="W61" s="62">
        <f t="shared" si="24"/>
        <v>5486104</v>
      </c>
      <c r="X61" s="65">
        <f>'Tables 6-8 Local Wealth'!M61</f>
        <v>0.74286674</v>
      </c>
      <c r="Y61" s="65">
        <f t="shared" si="25"/>
        <v>0.00180075</v>
      </c>
      <c r="Z61" s="65">
        <f t="shared" si="26"/>
        <v>0.00133772</v>
      </c>
      <c r="AA61" s="62">
        <f t="shared" si="50"/>
        <v>1426405.2664696658</v>
      </c>
      <c r="AB61" s="66">
        <f t="shared" si="27"/>
        <v>0.26</v>
      </c>
      <c r="AC61" s="67">
        <f t="shared" si="28"/>
        <v>4059698.733530334</v>
      </c>
      <c r="AD61" s="66">
        <f t="shared" si="29"/>
        <v>0.74</v>
      </c>
      <c r="AE61" s="62">
        <f>'Tables 6-8 Local Wealth'!BI61</f>
        <v>1194632.5</v>
      </c>
      <c r="AF61" s="62">
        <f t="shared" si="30"/>
        <v>0</v>
      </c>
      <c r="AG61" s="70">
        <f t="shared" si="31"/>
        <v>-231772.7664696658</v>
      </c>
      <c r="AH61" s="62">
        <f t="shared" si="32"/>
        <v>1810414</v>
      </c>
      <c r="AI61" s="62">
        <f t="shared" si="33"/>
        <v>0</v>
      </c>
      <c r="AJ61" s="67">
        <f t="shared" si="34"/>
        <v>0</v>
      </c>
      <c r="AK61" s="66">
        <f t="shared" si="35"/>
        <v>0</v>
      </c>
      <c r="AL61" s="62">
        <f t="shared" si="36"/>
        <v>1003476.192261784</v>
      </c>
      <c r="AM61" s="62">
        <f t="shared" si="37"/>
        <v>0</v>
      </c>
      <c r="AN61" s="62">
        <f t="shared" si="38"/>
        <v>4059698.733530334</v>
      </c>
      <c r="AO61" s="62">
        <f t="shared" si="39"/>
        <v>3949.12328</v>
      </c>
      <c r="AP61" s="62">
        <v>4498265.3875</v>
      </c>
      <c r="AQ61" s="57">
        <f>'[1]Table 4 Formula'!$C61</f>
        <v>1152</v>
      </c>
      <c r="AR61" s="62">
        <f t="shared" si="40"/>
        <v>3904.74</v>
      </c>
      <c r="AS61" s="66">
        <f t="shared" si="51"/>
        <v>0.9887612320879484</v>
      </c>
      <c r="AT61" s="163">
        <f t="shared" si="41"/>
        <v>0</v>
      </c>
      <c r="AU61" s="62">
        <f t="shared" si="52"/>
        <v>-438566.6557</v>
      </c>
      <c r="AV61" s="62">
        <f t="shared" si="42"/>
        <v>0</v>
      </c>
      <c r="AW61" s="61">
        <f t="shared" si="53"/>
        <v>0</v>
      </c>
      <c r="AX61" s="62">
        <f t="shared" si="43"/>
        <v>0</v>
      </c>
      <c r="AY61" s="62">
        <f t="shared" si="54"/>
        <v>4014072.7199999997</v>
      </c>
      <c r="AZ61" s="62">
        <f t="shared" si="44"/>
        <v>4059698.7318</v>
      </c>
      <c r="BA61" s="62">
        <f t="shared" si="45"/>
        <v>4059698.7318</v>
      </c>
      <c r="BB61" s="62">
        <f t="shared" si="55"/>
        <v>3949.12</v>
      </c>
      <c r="BC61" s="66">
        <f t="shared" si="56"/>
        <v>0.9999991694359058</v>
      </c>
      <c r="BD61" s="66">
        <f t="shared" si="46"/>
        <v>0.74</v>
      </c>
      <c r="BE61" s="62">
        <f t="shared" si="57"/>
        <v>1426405.27</v>
      </c>
      <c r="BF61" s="62">
        <f t="shared" si="58"/>
        <v>1387.55</v>
      </c>
      <c r="BG61" s="66">
        <f t="shared" si="47"/>
        <v>0.26</v>
      </c>
      <c r="BH61" s="62">
        <f t="shared" si="48"/>
        <v>5486104</v>
      </c>
      <c r="BI61" s="62">
        <f t="shared" si="59"/>
        <v>5336.68</v>
      </c>
      <c r="BJ61" s="61">
        <v>1267</v>
      </c>
      <c r="BK61" s="7">
        <v>54</v>
      </c>
      <c r="BL61" s="61" t="s">
        <v>56</v>
      </c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</row>
    <row r="62" spans="1:164" s="92" customFormat="1" ht="12.75">
      <c r="A62" s="83">
        <v>55</v>
      </c>
      <c r="B62" s="84" t="s">
        <v>57</v>
      </c>
      <c r="C62" s="84">
        <v>19633</v>
      </c>
      <c r="D62" s="84">
        <v>11238</v>
      </c>
      <c r="E62" s="85">
        <f t="shared" si="10"/>
        <v>5926730</v>
      </c>
      <c r="F62" s="86">
        <f t="shared" si="49"/>
        <v>1910</v>
      </c>
      <c r="G62" s="84">
        <v>6886</v>
      </c>
      <c r="H62" s="85">
        <f t="shared" si="11"/>
        <v>1067432</v>
      </c>
      <c r="I62" s="84">
        <f t="shared" si="12"/>
        <v>344</v>
      </c>
      <c r="J62" s="84">
        <v>3159</v>
      </c>
      <c r="K62" s="85">
        <f t="shared" si="13"/>
        <v>14705117</v>
      </c>
      <c r="L62" s="84">
        <f t="shared" si="14"/>
        <v>4739</v>
      </c>
      <c r="M62" s="84">
        <v>620</v>
      </c>
      <c r="N62" s="85">
        <f t="shared" si="15"/>
        <v>1154316</v>
      </c>
      <c r="O62" s="84">
        <f t="shared" si="16"/>
        <v>372</v>
      </c>
      <c r="P62" s="84">
        <f t="shared" si="17"/>
        <v>0</v>
      </c>
      <c r="Q62" s="87">
        <f t="shared" si="18"/>
        <v>0</v>
      </c>
      <c r="R62" s="85">
        <f t="shared" si="19"/>
        <v>0</v>
      </c>
      <c r="S62" s="84">
        <f t="shared" si="20"/>
        <v>0</v>
      </c>
      <c r="T62" s="84">
        <f t="shared" si="21"/>
        <v>7365</v>
      </c>
      <c r="U62" s="61">
        <f t="shared" si="22"/>
        <v>26998</v>
      </c>
      <c r="V62" s="85">
        <f t="shared" si="23"/>
        <v>3103</v>
      </c>
      <c r="W62" s="85">
        <f t="shared" si="24"/>
        <v>83774794</v>
      </c>
      <c r="X62" s="89">
        <f>'Tables 6-8 Local Wealth'!M62</f>
        <v>0.86784212</v>
      </c>
      <c r="Y62" s="89">
        <f t="shared" si="25"/>
        <v>0.02749816</v>
      </c>
      <c r="Z62" s="89">
        <f t="shared" si="26"/>
        <v>0.02386406</v>
      </c>
      <c r="AA62" s="85">
        <f t="shared" si="50"/>
        <v>25446147.82117939</v>
      </c>
      <c r="AB62" s="90">
        <f t="shared" si="27"/>
        <v>0.3037</v>
      </c>
      <c r="AC62" s="91">
        <f t="shared" si="28"/>
        <v>58328646.17882061</v>
      </c>
      <c r="AD62" s="90">
        <f t="shared" si="29"/>
        <v>0.6963</v>
      </c>
      <c r="AE62" s="85">
        <f>'Tables 6-8 Local Wealth'!BI62</f>
        <v>37315812.5</v>
      </c>
      <c r="AF62" s="85">
        <f t="shared" si="30"/>
        <v>11869664.67882061</v>
      </c>
      <c r="AG62" s="104">
        <f t="shared" si="31"/>
        <v>0</v>
      </c>
      <c r="AH62" s="85">
        <f t="shared" si="32"/>
        <v>27645682</v>
      </c>
      <c r="AI62" s="85">
        <f t="shared" si="33"/>
        <v>11869664.67882061</v>
      </c>
      <c r="AJ62" s="91">
        <f t="shared" si="34"/>
        <v>5689067.703686531</v>
      </c>
      <c r="AK62" s="90">
        <f t="shared" si="35"/>
        <v>0.4792947279999999</v>
      </c>
      <c r="AL62" s="85">
        <f t="shared" si="36"/>
        <v>7561361.930877964</v>
      </c>
      <c r="AM62" s="85">
        <f t="shared" si="37"/>
        <v>17558732.38250714</v>
      </c>
      <c r="AN62" s="85">
        <f t="shared" si="38"/>
        <v>64017713.88250714</v>
      </c>
      <c r="AO62" s="85">
        <f t="shared" si="39"/>
        <v>3260.7199</v>
      </c>
      <c r="AP62" s="85">
        <v>63285743.787</v>
      </c>
      <c r="AQ62" s="100">
        <f>'[1]Table 4 Formula'!$C62</f>
        <v>19900</v>
      </c>
      <c r="AR62" s="85">
        <f t="shared" si="40"/>
        <v>3180.19</v>
      </c>
      <c r="AS62" s="90">
        <f t="shared" si="51"/>
        <v>0.9753030304749574</v>
      </c>
      <c r="AT62" s="164">
        <f t="shared" si="41"/>
        <v>731970.0955071375</v>
      </c>
      <c r="AU62" s="85">
        <f t="shared" si="52"/>
        <v>731970.0097</v>
      </c>
      <c r="AV62" s="85">
        <f t="shared" si="42"/>
        <v>0</v>
      </c>
      <c r="AW62" s="84">
        <f t="shared" si="53"/>
        <v>0</v>
      </c>
      <c r="AX62" s="85">
        <f t="shared" si="43"/>
        <v>0</v>
      </c>
      <c r="AY62" s="85">
        <f t="shared" si="54"/>
        <v>62436670.27</v>
      </c>
      <c r="AZ62" s="85">
        <f t="shared" si="44"/>
        <v>64017713.7967</v>
      </c>
      <c r="BA62" s="85">
        <f t="shared" si="45"/>
        <v>64017713.7967</v>
      </c>
      <c r="BB62" s="85">
        <f t="shared" si="55"/>
        <v>3260.72</v>
      </c>
      <c r="BC62" s="90">
        <f t="shared" si="56"/>
        <v>1.000000030668074</v>
      </c>
      <c r="BD62" s="90">
        <f t="shared" si="46"/>
        <v>0.63</v>
      </c>
      <c r="BE62" s="85">
        <f t="shared" si="57"/>
        <v>37315812.5</v>
      </c>
      <c r="BF62" s="85">
        <f t="shared" si="58"/>
        <v>1900.67</v>
      </c>
      <c r="BG62" s="90">
        <f t="shared" si="47"/>
        <v>0.3682</v>
      </c>
      <c r="BH62" s="85">
        <f t="shared" si="48"/>
        <v>101333526.3</v>
      </c>
      <c r="BI62" s="85">
        <f t="shared" si="59"/>
        <v>5161.39</v>
      </c>
      <c r="BJ62" s="84">
        <v>20534</v>
      </c>
      <c r="BK62" s="92">
        <v>55</v>
      </c>
      <c r="BL62" s="84" t="s">
        <v>57</v>
      </c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</row>
    <row r="63" spans="1:164" s="7" customFormat="1" ht="12.75">
      <c r="A63" s="60">
        <v>56</v>
      </c>
      <c r="B63" s="61" t="s">
        <v>58</v>
      </c>
      <c r="C63" s="61">
        <v>3538</v>
      </c>
      <c r="D63" s="61">
        <v>2080</v>
      </c>
      <c r="E63" s="62">
        <f t="shared" si="10"/>
        <v>1098462</v>
      </c>
      <c r="F63" s="63">
        <f t="shared" si="49"/>
        <v>354</v>
      </c>
      <c r="G63" s="61">
        <v>1195</v>
      </c>
      <c r="H63" s="62">
        <f t="shared" si="11"/>
        <v>186180</v>
      </c>
      <c r="I63" s="61">
        <f t="shared" si="12"/>
        <v>60</v>
      </c>
      <c r="J63" s="61">
        <v>377</v>
      </c>
      <c r="K63" s="62">
        <f t="shared" si="13"/>
        <v>1756298</v>
      </c>
      <c r="L63" s="61">
        <f t="shared" si="14"/>
        <v>566</v>
      </c>
      <c r="M63" s="61">
        <v>25</v>
      </c>
      <c r="N63" s="62">
        <f t="shared" si="15"/>
        <v>46545</v>
      </c>
      <c r="O63" s="61">
        <f t="shared" si="16"/>
        <v>15</v>
      </c>
      <c r="P63" s="61">
        <f t="shared" si="17"/>
        <v>3962</v>
      </c>
      <c r="Q63" s="58">
        <f t="shared" si="18"/>
        <v>0.10565</v>
      </c>
      <c r="R63" s="62">
        <f t="shared" si="19"/>
        <v>1160522</v>
      </c>
      <c r="S63" s="61">
        <f t="shared" si="20"/>
        <v>374</v>
      </c>
      <c r="T63" s="61">
        <f t="shared" si="21"/>
        <v>1369</v>
      </c>
      <c r="U63" s="189">
        <f t="shared" si="22"/>
        <v>4907</v>
      </c>
      <c r="V63" s="62">
        <f t="shared" si="23"/>
        <v>3103</v>
      </c>
      <c r="W63" s="62">
        <f t="shared" si="24"/>
        <v>15226421</v>
      </c>
      <c r="X63" s="65">
        <f>'Tables 6-8 Local Wealth'!M63</f>
        <v>0.6885752</v>
      </c>
      <c r="Y63" s="65">
        <f t="shared" si="25"/>
        <v>0.00499791</v>
      </c>
      <c r="Z63" s="65">
        <f t="shared" si="26"/>
        <v>0.00344144</v>
      </c>
      <c r="AA63" s="62">
        <f t="shared" si="50"/>
        <v>3669593.143736632</v>
      </c>
      <c r="AB63" s="66">
        <f t="shared" si="27"/>
        <v>0.241</v>
      </c>
      <c r="AC63" s="67">
        <f t="shared" si="28"/>
        <v>11556827.856263367</v>
      </c>
      <c r="AD63" s="66">
        <f t="shared" si="29"/>
        <v>0.759</v>
      </c>
      <c r="AE63" s="62">
        <f>'Tables 6-8 Local Wealth'!BI63</f>
        <v>2864319</v>
      </c>
      <c r="AF63" s="62">
        <f t="shared" si="30"/>
        <v>0</v>
      </c>
      <c r="AG63" s="70">
        <f t="shared" si="31"/>
        <v>-805274.1437366321</v>
      </c>
      <c r="AH63" s="62">
        <f t="shared" si="32"/>
        <v>5024719</v>
      </c>
      <c r="AI63" s="62">
        <f t="shared" si="33"/>
        <v>0</v>
      </c>
      <c r="AJ63" s="67">
        <f t="shared" si="34"/>
        <v>0</v>
      </c>
      <c r="AK63" s="66">
        <f t="shared" si="35"/>
        <v>0</v>
      </c>
      <c r="AL63" s="62">
        <f t="shared" si="36"/>
        <v>2948780.86577872</v>
      </c>
      <c r="AM63" s="62">
        <f t="shared" si="37"/>
        <v>0</v>
      </c>
      <c r="AN63" s="62">
        <f t="shared" si="38"/>
        <v>11556827.856263367</v>
      </c>
      <c r="AO63" s="62">
        <f t="shared" si="39"/>
        <v>3266.48611</v>
      </c>
      <c r="AP63" s="62">
        <v>11763017.693</v>
      </c>
      <c r="AQ63" s="57">
        <f>'[1]Table 4 Formula'!$C63</f>
        <v>3688</v>
      </c>
      <c r="AR63" s="62">
        <f t="shared" si="40"/>
        <v>3189.54</v>
      </c>
      <c r="AS63" s="66">
        <f t="shared" si="51"/>
        <v>0.9764437663566248</v>
      </c>
      <c r="AT63" s="163">
        <f t="shared" si="41"/>
        <v>0</v>
      </c>
      <c r="AU63" s="62">
        <f t="shared" si="52"/>
        <v>-206189.8358</v>
      </c>
      <c r="AV63" s="62">
        <f t="shared" si="42"/>
        <v>0</v>
      </c>
      <c r="AW63" s="61">
        <f t="shared" si="53"/>
        <v>0</v>
      </c>
      <c r="AX63" s="62">
        <f t="shared" si="43"/>
        <v>0</v>
      </c>
      <c r="AY63" s="62">
        <f t="shared" si="54"/>
        <v>11284592.52</v>
      </c>
      <c r="AZ63" s="62">
        <f t="shared" si="44"/>
        <v>11556827.8572</v>
      </c>
      <c r="BA63" s="62">
        <f t="shared" si="45"/>
        <v>11556827.8572</v>
      </c>
      <c r="BB63" s="62">
        <f t="shared" si="55"/>
        <v>3266.49</v>
      </c>
      <c r="BC63" s="66">
        <f t="shared" si="56"/>
        <v>1.0000011908821496</v>
      </c>
      <c r="BD63" s="66">
        <f t="shared" si="46"/>
        <v>0.76</v>
      </c>
      <c r="BE63" s="62">
        <f t="shared" si="57"/>
        <v>3669593.14</v>
      </c>
      <c r="BF63" s="62">
        <f t="shared" si="58"/>
        <v>1037.19</v>
      </c>
      <c r="BG63" s="66">
        <f t="shared" si="47"/>
        <v>0.241</v>
      </c>
      <c r="BH63" s="62">
        <f t="shared" si="48"/>
        <v>15226421</v>
      </c>
      <c r="BI63" s="62">
        <f t="shared" si="59"/>
        <v>4303.68</v>
      </c>
      <c r="BJ63" s="61">
        <v>3878</v>
      </c>
      <c r="BK63" s="7">
        <v>56</v>
      </c>
      <c r="BL63" s="61" t="s">
        <v>58</v>
      </c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</row>
    <row r="64" spans="1:164" s="7" customFormat="1" ht="12.75">
      <c r="A64" s="60">
        <v>57</v>
      </c>
      <c r="B64" s="61" t="s">
        <v>59</v>
      </c>
      <c r="C64" s="61">
        <v>8879</v>
      </c>
      <c r="D64" s="61">
        <v>4654</v>
      </c>
      <c r="E64" s="62">
        <f t="shared" si="10"/>
        <v>2454473</v>
      </c>
      <c r="F64" s="63">
        <f t="shared" si="49"/>
        <v>791</v>
      </c>
      <c r="G64" s="61">
        <v>3121</v>
      </c>
      <c r="H64" s="62">
        <f t="shared" si="11"/>
        <v>484068</v>
      </c>
      <c r="I64" s="61">
        <f t="shared" si="12"/>
        <v>156</v>
      </c>
      <c r="J64" s="61">
        <v>1413</v>
      </c>
      <c r="K64" s="62">
        <f t="shared" si="13"/>
        <v>6578360</v>
      </c>
      <c r="L64" s="61">
        <f t="shared" si="14"/>
        <v>2120</v>
      </c>
      <c r="M64" s="61">
        <v>76</v>
      </c>
      <c r="N64" s="62">
        <f t="shared" si="15"/>
        <v>142738</v>
      </c>
      <c r="O64" s="61">
        <f t="shared" si="16"/>
        <v>46</v>
      </c>
      <c r="P64" s="61">
        <f t="shared" si="17"/>
        <v>0</v>
      </c>
      <c r="Q64" s="58">
        <f t="shared" si="18"/>
        <v>0</v>
      </c>
      <c r="R64" s="62">
        <f t="shared" si="19"/>
        <v>0</v>
      </c>
      <c r="S64" s="61">
        <f t="shared" si="20"/>
        <v>0</v>
      </c>
      <c r="T64" s="61">
        <f t="shared" si="21"/>
        <v>3113</v>
      </c>
      <c r="U64" s="61">
        <f t="shared" si="22"/>
        <v>11992</v>
      </c>
      <c r="V64" s="62">
        <f t="shared" si="23"/>
        <v>3103</v>
      </c>
      <c r="W64" s="62">
        <f t="shared" si="24"/>
        <v>37211176</v>
      </c>
      <c r="X64" s="65">
        <f>'Tables 6-8 Local Wealth'!M64</f>
        <v>0.88677726</v>
      </c>
      <c r="Y64" s="65">
        <f t="shared" si="25"/>
        <v>0.01221416</v>
      </c>
      <c r="Z64" s="65">
        <f t="shared" si="26"/>
        <v>0.01083124</v>
      </c>
      <c r="AA64" s="62">
        <f t="shared" si="50"/>
        <v>11549306.116673822</v>
      </c>
      <c r="AB64" s="66">
        <f t="shared" si="27"/>
        <v>0.3104</v>
      </c>
      <c r="AC64" s="67">
        <f t="shared" si="28"/>
        <v>25661869.88332618</v>
      </c>
      <c r="AD64" s="66">
        <f t="shared" si="29"/>
        <v>0.6896</v>
      </c>
      <c r="AE64" s="62">
        <f>'Tables 6-8 Local Wealth'!BI64</f>
        <v>14071075.5</v>
      </c>
      <c r="AF64" s="62">
        <f t="shared" si="30"/>
        <v>2521769.3833261784</v>
      </c>
      <c r="AG64" s="70">
        <f t="shared" si="31"/>
        <v>0</v>
      </c>
      <c r="AH64" s="62">
        <f t="shared" si="32"/>
        <v>12279688</v>
      </c>
      <c r="AI64" s="62">
        <f t="shared" si="33"/>
        <v>2521769.3833261784</v>
      </c>
      <c r="AJ64" s="67">
        <f t="shared" si="34"/>
        <v>1180020.7368674516</v>
      </c>
      <c r="AK64" s="66">
        <f t="shared" si="35"/>
        <v>0.46793364400000004</v>
      </c>
      <c r="AL64" s="62">
        <f t="shared" si="36"/>
        <v>4566058.416155621</v>
      </c>
      <c r="AM64" s="62">
        <f t="shared" si="37"/>
        <v>3701790.12019363</v>
      </c>
      <c r="AN64" s="62">
        <f t="shared" si="38"/>
        <v>26841890.62019363</v>
      </c>
      <c r="AO64" s="62">
        <f t="shared" si="39"/>
        <v>3023.07587</v>
      </c>
      <c r="AP64" s="62">
        <v>26903587.4549</v>
      </c>
      <c r="AQ64" s="57">
        <f>'[1]Table 4 Formula'!$C64</f>
        <v>9215</v>
      </c>
      <c r="AR64" s="62">
        <f t="shared" si="40"/>
        <v>2919.54</v>
      </c>
      <c r="AS64" s="66">
        <f t="shared" si="51"/>
        <v>0.9657514814538876</v>
      </c>
      <c r="AT64" s="163">
        <f t="shared" si="41"/>
        <v>0</v>
      </c>
      <c r="AU64" s="62">
        <f t="shared" si="52"/>
        <v>-61696.8052</v>
      </c>
      <c r="AV64" s="62">
        <f t="shared" si="42"/>
        <v>0</v>
      </c>
      <c r="AW64" s="61">
        <f t="shared" si="53"/>
        <v>0</v>
      </c>
      <c r="AX64" s="62">
        <f t="shared" si="43"/>
        <v>0</v>
      </c>
      <c r="AY64" s="62">
        <f t="shared" si="54"/>
        <v>25922595.66</v>
      </c>
      <c r="AZ64" s="62">
        <f t="shared" si="44"/>
        <v>26841890.6497</v>
      </c>
      <c r="BA64" s="62">
        <f t="shared" si="45"/>
        <v>26841890.6497</v>
      </c>
      <c r="BB64" s="62">
        <f t="shared" si="55"/>
        <v>3023.08</v>
      </c>
      <c r="BC64" s="66">
        <f t="shared" si="56"/>
        <v>1.0000013661582365</v>
      </c>
      <c r="BD64" s="66">
        <f t="shared" si="46"/>
        <v>0.66</v>
      </c>
      <c r="BE64" s="62">
        <f t="shared" si="57"/>
        <v>14071075.5</v>
      </c>
      <c r="BF64" s="62">
        <f t="shared" si="58"/>
        <v>1584.76</v>
      </c>
      <c r="BG64" s="66">
        <f t="shared" si="47"/>
        <v>0.3439</v>
      </c>
      <c r="BH64" s="62">
        <f t="shared" si="48"/>
        <v>40912966.15</v>
      </c>
      <c r="BI64" s="62">
        <f t="shared" si="59"/>
        <v>4607.83</v>
      </c>
      <c r="BJ64" s="61">
        <v>9506</v>
      </c>
      <c r="BK64" s="7">
        <v>57</v>
      </c>
      <c r="BL64" s="61" t="s">
        <v>59</v>
      </c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</row>
    <row r="65" spans="1:164" s="7" customFormat="1" ht="12.75">
      <c r="A65" s="60">
        <v>58</v>
      </c>
      <c r="B65" s="61" t="s">
        <v>60</v>
      </c>
      <c r="C65" s="61">
        <v>10087</v>
      </c>
      <c r="D65" s="61">
        <v>5218</v>
      </c>
      <c r="E65" s="62">
        <f t="shared" si="10"/>
        <v>2752361</v>
      </c>
      <c r="F65" s="63">
        <f t="shared" si="49"/>
        <v>887</v>
      </c>
      <c r="G65" s="61">
        <v>2352</v>
      </c>
      <c r="H65" s="62">
        <f t="shared" si="11"/>
        <v>366154</v>
      </c>
      <c r="I65" s="61">
        <f t="shared" si="12"/>
        <v>118</v>
      </c>
      <c r="J65" s="61">
        <v>1394</v>
      </c>
      <c r="K65" s="62">
        <f t="shared" si="13"/>
        <v>6488373</v>
      </c>
      <c r="L65" s="61">
        <f t="shared" si="14"/>
        <v>2091</v>
      </c>
      <c r="M65" s="61">
        <v>218</v>
      </c>
      <c r="N65" s="62">
        <f t="shared" si="15"/>
        <v>406493</v>
      </c>
      <c r="O65" s="61">
        <f t="shared" si="16"/>
        <v>131</v>
      </c>
      <c r="P65" s="61">
        <f t="shared" si="17"/>
        <v>0</v>
      </c>
      <c r="Q65" s="58">
        <f t="shared" si="18"/>
        <v>0</v>
      </c>
      <c r="R65" s="62">
        <f t="shared" si="19"/>
        <v>0</v>
      </c>
      <c r="S65" s="61">
        <f t="shared" si="20"/>
        <v>0</v>
      </c>
      <c r="T65" s="61">
        <f t="shared" si="21"/>
        <v>3227</v>
      </c>
      <c r="U65" s="61">
        <f t="shared" si="22"/>
        <v>13314</v>
      </c>
      <c r="V65" s="62">
        <f t="shared" si="23"/>
        <v>3103</v>
      </c>
      <c r="W65" s="62">
        <f t="shared" si="24"/>
        <v>41313342</v>
      </c>
      <c r="X65" s="65">
        <f>'Tables 6-8 Local Wealth'!M65</f>
        <v>0.44489174</v>
      </c>
      <c r="Y65" s="65">
        <f t="shared" si="25"/>
        <v>0.01356065</v>
      </c>
      <c r="Z65" s="65">
        <f t="shared" si="26"/>
        <v>0.00603302</v>
      </c>
      <c r="AA65" s="62">
        <f t="shared" si="50"/>
        <v>6432984.107822881</v>
      </c>
      <c r="AB65" s="66">
        <f t="shared" si="27"/>
        <v>0.1557</v>
      </c>
      <c r="AC65" s="67">
        <f t="shared" si="28"/>
        <v>34880357.89217712</v>
      </c>
      <c r="AD65" s="66">
        <f t="shared" si="29"/>
        <v>0.8443</v>
      </c>
      <c r="AE65" s="62">
        <f>'Tables 6-8 Local Wealth'!BI65</f>
        <v>11166337</v>
      </c>
      <c r="AF65" s="62">
        <f t="shared" si="30"/>
        <v>4733352.892177119</v>
      </c>
      <c r="AG65" s="70">
        <f t="shared" si="31"/>
        <v>0</v>
      </c>
      <c r="AH65" s="62">
        <f t="shared" si="32"/>
        <v>13633403</v>
      </c>
      <c r="AI65" s="62">
        <f t="shared" si="33"/>
        <v>4733352.892177119</v>
      </c>
      <c r="AJ65" s="67">
        <f t="shared" si="34"/>
        <v>3469855.1296362923</v>
      </c>
      <c r="AK65" s="66">
        <f t="shared" si="35"/>
        <v>0.733064956</v>
      </c>
      <c r="AL65" s="62">
        <f t="shared" si="36"/>
        <v>6524314.840688975</v>
      </c>
      <c r="AM65" s="62">
        <f t="shared" si="37"/>
        <v>8203208.021813411</v>
      </c>
      <c r="AN65" s="62">
        <f t="shared" si="38"/>
        <v>38350213.021813415</v>
      </c>
      <c r="AO65" s="62">
        <f t="shared" si="39"/>
        <v>3801.94439</v>
      </c>
      <c r="AP65" s="62">
        <v>36639181.541</v>
      </c>
      <c r="AQ65" s="57">
        <f>'[1]Table 4 Formula'!$C65</f>
        <v>10023</v>
      </c>
      <c r="AR65" s="62">
        <f t="shared" si="40"/>
        <v>3655.51</v>
      </c>
      <c r="AS65" s="66">
        <f t="shared" si="51"/>
        <v>0.9614843419632448</v>
      </c>
      <c r="AT65" s="163">
        <f t="shared" si="41"/>
        <v>1711031.4808134139</v>
      </c>
      <c r="AU65" s="62">
        <f t="shared" si="52"/>
        <v>1711031.5209</v>
      </c>
      <c r="AV65" s="62">
        <f t="shared" si="42"/>
        <v>0</v>
      </c>
      <c r="AW65" s="61">
        <f t="shared" si="53"/>
        <v>0</v>
      </c>
      <c r="AX65" s="62">
        <f t="shared" si="43"/>
        <v>0</v>
      </c>
      <c r="AY65" s="62">
        <f t="shared" si="54"/>
        <v>36639181.541</v>
      </c>
      <c r="AZ65" s="62">
        <f t="shared" si="44"/>
        <v>38350213.0619</v>
      </c>
      <c r="BA65" s="62">
        <f t="shared" si="45"/>
        <v>38350213.0619</v>
      </c>
      <c r="BB65" s="62">
        <f t="shared" si="55"/>
        <v>3801.94</v>
      </c>
      <c r="BC65" s="66">
        <f t="shared" si="56"/>
        <v>0.9999988453276667</v>
      </c>
      <c r="BD65" s="66">
        <f t="shared" si="46"/>
        <v>0.77</v>
      </c>
      <c r="BE65" s="62">
        <f t="shared" si="57"/>
        <v>11166337</v>
      </c>
      <c r="BF65" s="62">
        <f t="shared" si="58"/>
        <v>1107</v>
      </c>
      <c r="BG65" s="66">
        <f t="shared" si="47"/>
        <v>0.2255</v>
      </c>
      <c r="BH65" s="62">
        <f t="shared" si="48"/>
        <v>49516550.06</v>
      </c>
      <c r="BI65" s="62">
        <f t="shared" si="59"/>
        <v>4908.95</v>
      </c>
      <c r="BJ65" s="61">
        <v>10286</v>
      </c>
      <c r="BK65" s="7">
        <v>58</v>
      </c>
      <c r="BL65" s="61" t="s">
        <v>60</v>
      </c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</row>
    <row r="66" spans="1:164" s="7" customFormat="1" ht="12.75">
      <c r="A66" s="60">
        <v>59</v>
      </c>
      <c r="B66" s="61" t="s">
        <v>61</v>
      </c>
      <c r="C66" s="61">
        <v>4592</v>
      </c>
      <c r="D66" s="61">
        <v>3640</v>
      </c>
      <c r="E66" s="62">
        <f t="shared" si="10"/>
        <v>1920757</v>
      </c>
      <c r="F66" s="63">
        <f t="shared" si="49"/>
        <v>619</v>
      </c>
      <c r="G66" s="61">
        <v>1633</v>
      </c>
      <c r="H66" s="62">
        <f t="shared" si="11"/>
        <v>254446</v>
      </c>
      <c r="I66" s="61">
        <f t="shared" si="12"/>
        <v>82</v>
      </c>
      <c r="J66" s="61">
        <v>673</v>
      </c>
      <c r="K66" s="62">
        <f t="shared" si="13"/>
        <v>3134030</v>
      </c>
      <c r="L66" s="61">
        <f t="shared" si="14"/>
        <v>1010</v>
      </c>
      <c r="M66" s="61">
        <v>324</v>
      </c>
      <c r="N66" s="62">
        <f t="shared" si="15"/>
        <v>601982</v>
      </c>
      <c r="O66" s="61">
        <f t="shared" si="16"/>
        <v>194</v>
      </c>
      <c r="P66" s="61">
        <f t="shared" si="17"/>
        <v>2908</v>
      </c>
      <c r="Q66" s="58">
        <f t="shared" si="18"/>
        <v>0.07755</v>
      </c>
      <c r="R66" s="62">
        <f t="shared" si="19"/>
        <v>1104668</v>
      </c>
      <c r="S66" s="61">
        <f t="shared" si="20"/>
        <v>356</v>
      </c>
      <c r="T66" s="61">
        <f t="shared" si="21"/>
        <v>2261</v>
      </c>
      <c r="U66" s="61">
        <f t="shared" si="22"/>
        <v>6853</v>
      </c>
      <c r="V66" s="62">
        <f t="shared" si="23"/>
        <v>3103</v>
      </c>
      <c r="W66" s="62">
        <f t="shared" si="24"/>
        <v>21264859</v>
      </c>
      <c r="X66" s="65">
        <f>'Tables 6-8 Local Wealth'!M66</f>
        <v>0.41042157</v>
      </c>
      <c r="Y66" s="65">
        <f t="shared" si="25"/>
        <v>0.00697996</v>
      </c>
      <c r="Z66" s="65">
        <f t="shared" si="26"/>
        <v>0.00286473</v>
      </c>
      <c r="AA66" s="62">
        <f t="shared" si="50"/>
        <v>3054649.671839881</v>
      </c>
      <c r="AB66" s="66">
        <f t="shared" si="27"/>
        <v>0.1436</v>
      </c>
      <c r="AC66" s="67">
        <f t="shared" si="28"/>
        <v>18210209.32816012</v>
      </c>
      <c r="AD66" s="66">
        <f t="shared" si="29"/>
        <v>0.8564</v>
      </c>
      <c r="AE66" s="62">
        <f>'Tables 6-8 Local Wealth'!BI66</f>
        <v>5271935.5</v>
      </c>
      <c r="AF66" s="62">
        <f t="shared" si="30"/>
        <v>2217285.828160119</v>
      </c>
      <c r="AG66" s="70">
        <f t="shared" si="31"/>
        <v>0</v>
      </c>
      <c r="AH66" s="62">
        <f t="shared" si="32"/>
        <v>7017403</v>
      </c>
      <c r="AI66" s="62">
        <f t="shared" si="33"/>
        <v>2217285.828160119</v>
      </c>
      <c r="AJ66" s="67">
        <f t="shared" si="34"/>
        <v>1671272.669720783</v>
      </c>
      <c r="AK66" s="66">
        <f t="shared" si="35"/>
        <v>0.753747058</v>
      </c>
      <c r="AL66" s="62">
        <f t="shared" si="36"/>
        <v>3618074.196329591</v>
      </c>
      <c r="AM66" s="62">
        <f t="shared" si="37"/>
        <v>3888558.4978809017</v>
      </c>
      <c r="AN66" s="62">
        <f t="shared" si="38"/>
        <v>19881481.997880902</v>
      </c>
      <c r="AO66" s="62">
        <f t="shared" si="39"/>
        <v>4329.59103</v>
      </c>
      <c r="AP66" s="62">
        <v>18837836.1902</v>
      </c>
      <c r="AQ66" s="57">
        <f>'[1]Table 4 Formula'!$C66</f>
        <v>4567</v>
      </c>
      <c r="AR66" s="62">
        <f t="shared" si="40"/>
        <v>4124.77</v>
      </c>
      <c r="AS66" s="66">
        <f t="shared" si="51"/>
        <v>0.9526927535231892</v>
      </c>
      <c r="AT66" s="163">
        <f t="shared" si="41"/>
        <v>1043645.8076809011</v>
      </c>
      <c r="AU66" s="62">
        <f t="shared" si="52"/>
        <v>1043645.8196</v>
      </c>
      <c r="AV66" s="62">
        <f t="shared" si="42"/>
        <v>0</v>
      </c>
      <c r="AW66" s="61">
        <f t="shared" si="53"/>
        <v>0</v>
      </c>
      <c r="AX66" s="62">
        <f t="shared" si="43"/>
        <v>0</v>
      </c>
      <c r="AY66" s="62">
        <f t="shared" si="54"/>
        <v>18837836.1902</v>
      </c>
      <c r="AZ66" s="62">
        <f t="shared" si="44"/>
        <v>19881482.0098</v>
      </c>
      <c r="BA66" s="62">
        <f t="shared" si="45"/>
        <v>19881482.0098</v>
      </c>
      <c r="BB66" s="62">
        <f t="shared" si="55"/>
        <v>4329.59</v>
      </c>
      <c r="BC66" s="66">
        <f t="shared" si="56"/>
        <v>0.999999762102242</v>
      </c>
      <c r="BD66" s="66">
        <f t="shared" si="46"/>
        <v>0.79</v>
      </c>
      <c r="BE66" s="62">
        <f t="shared" si="57"/>
        <v>5271935.5</v>
      </c>
      <c r="BF66" s="62">
        <f t="shared" si="58"/>
        <v>1148.07</v>
      </c>
      <c r="BG66" s="66">
        <f t="shared" si="47"/>
        <v>0.2096</v>
      </c>
      <c r="BH66" s="62">
        <f t="shared" si="48"/>
        <v>25153417.51</v>
      </c>
      <c r="BI66" s="62">
        <f t="shared" si="59"/>
        <v>5477.66</v>
      </c>
      <c r="BJ66" s="61">
        <v>4767</v>
      </c>
      <c r="BK66" s="7">
        <v>59</v>
      </c>
      <c r="BL66" s="61" t="s">
        <v>61</v>
      </c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</row>
    <row r="67" spans="1:164" s="92" customFormat="1" ht="12.75">
      <c r="A67" s="83">
        <v>60</v>
      </c>
      <c r="B67" s="84" t="s">
        <v>62</v>
      </c>
      <c r="C67" s="84">
        <v>7551</v>
      </c>
      <c r="D67" s="84">
        <v>3878</v>
      </c>
      <c r="E67" s="85">
        <f t="shared" si="10"/>
        <v>2044877</v>
      </c>
      <c r="F67" s="86">
        <f t="shared" si="49"/>
        <v>659</v>
      </c>
      <c r="G67" s="84">
        <v>2532</v>
      </c>
      <c r="H67" s="85">
        <f t="shared" si="11"/>
        <v>394081</v>
      </c>
      <c r="I67" s="84">
        <f t="shared" si="12"/>
        <v>127</v>
      </c>
      <c r="J67" s="84">
        <v>977</v>
      </c>
      <c r="K67" s="85">
        <f t="shared" si="13"/>
        <v>4548998</v>
      </c>
      <c r="L67" s="84">
        <f t="shared" si="14"/>
        <v>1466</v>
      </c>
      <c r="M67" s="84">
        <v>114</v>
      </c>
      <c r="N67" s="85">
        <f t="shared" si="15"/>
        <v>211004</v>
      </c>
      <c r="O67" s="84">
        <f t="shared" si="16"/>
        <v>68</v>
      </c>
      <c r="P67" s="84">
        <f t="shared" si="17"/>
        <v>0</v>
      </c>
      <c r="Q67" s="87">
        <f t="shared" si="18"/>
        <v>0</v>
      </c>
      <c r="R67" s="85">
        <f t="shared" si="19"/>
        <v>0</v>
      </c>
      <c r="S67" s="84">
        <f t="shared" si="20"/>
        <v>0</v>
      </c>
      <c r="T67" s="84">
        <f t="shared" si="21"/>
        <v>2320</v>
      </c>
      <c r="U67" s="61">
        <f t="shared" si="22"/>
        <v>9871</v>
      </c>
      <c r="V67" s="85">
        <f t="shared" si="23"/>
        <v>3103</v>
      </c>
      <c r="W67" s="85">
        <f t="shared" si="24"/>
        <v>30629713</v>
      </c>
      <c r="X67" s="89">
        <f>'Tables 6-8 Local Wealth'!M67</f>
        <v>0.77408163</v>
      </c>
      <c r="Y67" s="89">
        <f t="shared" si="25"/>
        <v>0.01005387</v>
      </c>
      <c r="Z67" s="89">
        <f t="shared" si="26"/>
        <v>0.00778252</v>
      </c>
      <c r="AA67" s="85">
        <f t="shared" si="50"/>
        <v>8298468.673867106</v>
      </c>
      <c r="AB67" s="90">
        <f t="shared" si="27"/>
        <v>0.2709</v>
      </c>
      <c r="AC67" s="91">
        <f t="shared" si="28"/>
        <v>22331244.326132894</v>
      </c>
      <c r="AD67" s="90">
        <f t="shared" si="29"/>
        <v>0.7291</v>
      </c>
      <c r="AE67" s="85">
        <f>'Tables 6-8 Local Wealth'!BI67</f>
        <v>14029978</v>
      </c>
      <c r="AF67" s="85">
        <f t="shared" si="30"/>
        <v>5731509.326132894</v>
      </c>
      <c r="AG67" s="104">
        <f t="shared" si="31"/>
        <v>0</v>
      </c>
      <c r="AH67" s="85">
        <f t="shared" si="32"/>
        <v>10107805</v>
      </c>
      <c r="AI67" s="85">
        <f t="shared" si="33"/>
        <v>5731509.326132894</v>
      </c>
      <c r="AJ67" s="91">
        <f t="shared" si="34"/>
        <v>3069515.677213003</v>
      </c>
      <c r="AK67" s="90">
        <f t="shared" si="35"/>
        <v>0.535551022</v>
      </c>
      <c r="AL67" s="85">
        <f t="shared" si="36"/>
        <v>2343729.620713707</v>
      </c>
      <c r="AM67" s="85">
        <f t="shared" si="37"/>
        <v>8801025.003345896</v>
      </c>
      <c r="AN67" s="85">
        <f t="shared" si="38"/>
        <v>25400760.003345896</v>
      </c>
      <c r="AO67" s="85">
        <f t="shared" si="39"/>
        <v>3363.89352</v>
      </c>
      <c r="AP67" s="85">
        <v>25250122.5759</v>
      </c>
      <c r="AQ67" s="100">
        <f>'[1]Table 4 Formula'!$C67</f>
        <v>7754</v>
      </c>
      <c r="AR67" s="85">
        <f t="shared" si="40"/>
        <v>3256.4</v>
      </c>
      <c r="AS67" s="90">
        <f t="shared" si="51"/>
        <v>0.968044910054109</v>
      </c>
      <c r="AT67" s="164">
        <f t="shared" si="41"/>
        <v>150637.42744589597</v>
      </c>
      <c r="AU67" s="85">
        <f t="shared" si="52"/>
        <v>150637.3936</v>
      </c>
      <c r="AV67" s="85">
        <f t="shared" si="42"/>
        <v>0</v>
      </c>
      <c r="AW67" s="84">
        <f t="shared" si="53"/>
        <v>0</v>
      </c>
      <c r="AX67" s="85">
        <f t="shared" si="43"/>
        <v>0</v>
      </c>
      <c r="AY67" s="85">
        <f t="shared" si="54"/>
        <v>24589076.400000002</v>
      </c>
      <c r="AZ67" s="85">
        <f t="shared" si="44"/>
        <v>25400759.9695</v>
      </c>
      <c r="BA67" s="85">
        <f t="shared" si="45"/>
        <v>25400759.9695</v>
      </c>
      <c r="BB67" s="85">
        <f t="shared" si="55"/>
        <v>3363.89</v>
      </c>
      <c r="BC67" s="90">
        <f t="shared" si="56"/>
        <v>0.9999989535935132</v>
      </c>
      <c r="BD67" s="90">
        <f t="shared" si="46"/>
        <v>0.64</v>
      </c>
      <c r="BE67" s="85">
        <f t="shared" si="57"/>
        <v>14029978</v>
      </c>
      <c r="BF67" s="85">
        <f t="shared" si="58"/>
        <v>1858.03</v>
      </c>
      <c r="BG67" s="90">
        <f t="shared" si="47"/>
        <v>0.3558</v>
      </c>
      <c r="BH67" s="85">
        <f t="shared" si="48"/>
        <v>39430737.97</v>
      </c>
      <c r="BI67" s="85">
        <f t="shared" si="59"/>
        <v>5221.92</v>
      </c>
      <c r="BJ67" s="84">
        <v>8065</v>
      </c>
      <c r="BK67" s="92">
        <v>60</v>
      </c>
      <c r="BL67" s="84" t="s">
        <v>62</v>
      </c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</row>
    <row r="68" spans="1:164" s="7" customFormat="1" ht="12.75">
      <c r="A68" s="60">
        <v>61</v>
      </c>
      <c r="B68" s="61" t="s">
        <v>63</v>
      </c>
      <c r="C68" s="61">
        <v>3753</v>
      </c>
      <c r="D68" s="61">
        <v>2247</v>
      </c>
      <c r="E68" s="62">
        <f t="shared" si="10"/>
        <v>1185346</v>
      </c>
      <c r="F68" s="63">
        <f t="shared" si="49"/>
        <v>382</v>
      </c>
      <c r="G68" s="61">
        <v>1116</v>
      </c>
      <c r="H68" s="62">
        <f t="shared" si="11"/>
        <v>173768</v>
      </c>
      <c r="I68" s="61">
        <f t="shared" si="12"/>
        <v>56</v>
      </c>
      <c r="J68" s="61">
        <v>454</v>
      </c>
      <c r="K68" s="62">
        <f t="shared" si="13"/>
        <v>2113143</v>
      </c>
      <c r="L68" s="61">
        <f t="shared" si="14"/>
        <v>681</v>
      </c>
      <c r="M68" s="61">
        <v>166</v>
      </c>
      <c r="N68" s="62">
        <f t="shared" si="15"/>
        <v>310300</v>
      </c>
      <c r="O68" s="61">
        <f t="shared" si="16"/>
        <v>100</v>
      </c>
      <c r="P68" s="61">
        <f t="shared" si="17"/>
        <v>3747</v>
      </c>
      <c r="Q68" s="58">
        <f t="shared" si="18"/>
        <v>0.09992</v>
      </c>
      <c r="R68" s="62">
        <f t="shared" si="19"/>
        <v>1163625</v>
      </c>
      <c r="S68" s="61">
        <f t="shared" si="20"/>
        <v>375</v>
      </c>
      <c r="T68" s="61">
        <f t="shared" si="21"/>
        <v>1594</v>
      </c>
      <c r="U68" s="189">
        <f t="shared" si="22"/>
        <v>5347</v>
      </c>
      <c r="V68" s="62">
        <f t="shared" si="23"/>
        <v>3103</v>
      </c>
      <c r="W68" s="62">
        <f t="shared" si="24"/>
        <v>16591741</v>
      </c>
      <c r="X68" s="65">
        <f>'Tables 6-8 Local Wealth'!M68</f>
        <v>1.38883933</v>
      </c>
      <c r="Y68" s="65">
        <f t="shared" si="25"/>
        <v>0.00544606</v>
      </c>
      <c r="Z68" s="65">
        <f t="shared" si="26"/>
        <v>0.0075637</v>
      </c>
      <c r="AA68" s="62">
        <f t="shared" si="50"/>
        <v>8065141.818913234</v>
      </c>
      <c r="AB68" s="66">
        <f t="shared" si="27"/>
        <v>0.4861</v>
      </c>
      <c r="AC68" s="67">
        <f t="shared" si="28"/>
        <v>8526599.181086766</v>
      </c>
      <c r="AD68" s="66">
        <f t="shared" si="29"/>
        <v>0.5139</v>
      </c>
      <c r="AE68" s="62">
        <f>'Tables 6-8 Local Wealth'!BI68</f>
        <v>12547960</v>
      </c>
      <c r="AF68" s="62">
        <f t="shared" si="30"/>
        <v>4482818.181086766</v>
      </c>
      <c r="AG68" s="70">
        <f t="shared" si="31"/>
        <v>0</v>
      </c>
      <c r="AH68" s="62">
        <f t="shared" si="32"/>
        <v>5475275</v>
      </c>
      <c r="AI68" s="62">
        <f t="shared" si="33"/>
        <v>4482818.181086766</v>
      </c>
      <c r="AJ68" s="67">
        <f t="shared" si="34"/>
        <v>747269.6616073484</v>
      </c>
      <c r="AK68" s="66">
        <f t="shared" si="35"/>
        <v>0.16669640200000002</v>
      </c>
      <c r="AL68" s="62">
        <f t="shared" si="36"/>
        <v>165438.9808532017</v>
      </c>
      <c r="AM68" s="62">
        <f t="shared" si="37"/>
        <v>5230087.842694114</v>
      </c>
      <c r="AN68" s="62">
        <f t="shared" si="38"/>
        <v>9273868.842694115</v>
      </c>
      <c r="AO68" s="62">
        <f t="shared" si="39"/>
        <v>2471.05485</v>
      </c>
      <c r="AP68" s="62">
        <v>8717194.08</v>
      </c>
      <c r="AQ68" s="57">
        <f>'[1]Table 4 Formula'!$C68</f>
        <v>3816</v>
      </c>
      <c r="AR68" s="62">
        <f t="shared" si="40"/>
        <v>2284.38</v>
      </c>
      <c r="AS68" s="66">
        <f t="shared" si="51"/>
        <v>0.924455400089561</v>
      </c>
      <c r="AT68" s="163">
        <f t="shared" si="41"/>
        <v>556674.7626941148</v>
      </c>
      <c r="AU68" s="62">
        <f t="shared" si="52"/>
        <v>556674.7721</v>
      </c>
      <c r="AV68" s="62">
        <f t="shared" si="42"/>
        <v>0</v>
      </c>
      <c r="AW68" s="61">
        <f t="shared" si="53"/>
        <v>0</v>
      </c>
      <c r="AX68" s="62">
        <f t="shared" si="43"/>
        <v>0</v>
      </c>
      <c r="AY68" s="62">
        <f t="shared" si="54"/>
        <v>8573278.14</v>
      </c>
      <c r="AZ68" s="62">
        <f t="shared" si="44"/>
        <v>9273868.8521</v>
      </c>
      <c r="BA68" s="62">
        <f t="shared" si="45"/>
        <v>9273868.8521</v>
      </c>
      <c r="BB68" s="62">
        <f t="shared" si="55"/>
        <v>2471.05</v>
      </c>
      <c r="BC68" s="66">
        <f t="shared" si="56"/>
        <v>0.9999980372754576</v>
      </c>
      <c r="BD68" s="66">
        <f t="shared" si="46"/>
        <v>0.42</v>
      </c>
      <c r="BE68" s="62">
        <f t="shared" si="57"/>
        <v>12547960</v>
      </c>
      <c r="BF68" s="62">
        <f t="shared" si="58"/>
        <v>3343.45</v>
      </c>
      <c r="BG68" s="66">
        <f t="shared" si="47"/>
        <v>0.575</v>
      </c>
      <c r="BH68" s="62">
        <f t="shared" si="48"/>
        <v>21821828.85</v>
      </c>
      <c r="BI68" s="62">
        <f t="shared" si="59"/>
        <v>5814.5</v>
      </c>
      <c r="BJ68" s="61">
        <v>3906</v>
      </c>
      <c r="BK68" s="7">
        <v>61</v>
      </c>
      <c r="BL68" s="61" t="s">
        <v>63</v>
      </c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</row>
    <row r="69" spans="1:164" s="7" customFormat="1" ht="12.75">
      <c r="A69" s="60">
        <v>62</v>
      </c>
      <c r="B69" s="61" t="s">
        <v>64</v>
      </c>
      <c r="C69" s="61">
        <v>2486</v>
      </c>
      <c r="D69" s="61">
        <v>1563</v>
      </c>
      <c r="E69" s="62">
        <f t="shared" si="10"/>
        <v>825398</v>
      </c>
      <c r="F69" s="63">
        <f t="shared" si="49"/>
        <v>266</v>
      </c>
      <c r="G69" s="61">
        <v>988</v>
      </c>
      <c r="H69" s="62">
        <f t="shared" si="11"/>
        <v>152047</v>
      </c>
      <c r="I69" s="61">
        <f t="shared" si="12"/>
        <v>49</v>
      </c>
      <c r="J69" s="61">
        <v>289</v>
      </c>
      <c r="K69" s="62">
        <f t="shared" si="13"/>
        <v>1346702</v>
      </c>
      <c r="L69" s="61">
        <f t="shared" si="14"/>
        <v>434</v>
      </c>
      <c r="M69" s="61">
        <v>32</v>
      </c>
      <c r="N69" s="62">
        <f t="shared" si="15"/>
        <v>58957</v>
      </c>
      <c r="O69" s="61">
        <f t="shared" si="16"/>
        <v>19</v>
      </c>
      <c r="P69" s="61">
        <f t="shared" si="17"/>
        <v>5014</v>
      </c>
      <c r="Q69" s="58">
        <f t="shared" si="18"/>
        <v>0.13371</v>
      </c>
      <c r="R69" s="62">
        <f t="shared" si="19"/>
        <v>1030196</v>
      </c>
      <c r="S69" s="61">
        <f t="shared" si="20"/>
        <v>332</v>
      </c>
      <c r="T69" s="61">
        <f t="shared" si="21"/>
        <v>1100</v>
      </c>
      <c r="U69" s="61">
        <f t="shared" si="22"/>
        <v>3586</v>
      </c>
      <c r="V69" s="62">
        <f t="shared" si="23"/>
        <v>3103</v>
      </c>
      <c r="W69" s="62">
        <f t="shared" si="24"/>
        <v>11127358</v>
      </c>
      <c r="X69" s="65">
        <f>'Tables 6-8 Local Wealth'!M69</f>
        <v>0.49481586</v>
      </c>
      <c r="Y69" s="65">
        <f t="shared" si="25"/>
        <v>0.00365243</v>
      </c>
      <c r="Z69" s="65">
        <f t="shared" si="26"/>
        <v>0.00180728</v>
      </c>
      <c r="AA69" s="62">
        <f t="shared" si="50"/>
        <v>1927095.139480084</v>
      </c>
      <c r="AB69" s="66">
        <f t="shared" si="27"/>
        <v>0.1732</v>
      </c>
      <c r="AC69" s="67">
        <f t="shared" si="28"/>
        <v>9200262.860519916</v>
      </c>
      <c r="AD69" s="66">
        <f t="shared" si="29"/>
        <v>0.8268</v>
      </c>
      <c r="AE69" s="62">
        <f>'Tables 6-8 Local Wealth'!BI69</f>
        <v>1849998</v>
      </c>
      <c r="AF69" s="62">
        <f t="shared" si="30"/>
        <v>0</v>
      </c>
      <c r="AG69" s="70">
        <f t="shared" si="31"/>
        <v>-77097.13948008395</v>
      </c>
      <c r="AH69" s="62">
        <f t="shared" si="32"/>
        <v>3672028</v>
      </c>
      <c r="AI69" s="62">
        <f t="shared" si="33"/>
        <v>0</v>
      </c>
      <c r="AJ69" s="67">
        <f t="shared" si="34"/>
        <v>0</v>
      </c>
      <c r="AK69" s="66">
        <f t="shared" si="35"/>
        <v>0</v>
      </c>
      <c r="AL69" s="62">
        <f t="shared" si="36"/>
        <v>2581841.384341552</v>
      </c>
      <c r="AM69" s="62">
        <f t="shared" si="37"/>
        <v>0</v>
      </c>
      <c r="AN69" s="62">
        <f t="shared" si="38"/>
        <v>9200262.860519916</v>
      </c>
      <c r="AO69" s="62">
        <f t="shared" si="39"/>
        <v>3700.82979</v>
      </c>
      <c r="AP69" s="62">
        <v>9235719.1248</v>
      </c>
      <c r="AQ69" s="57">
        <f>'[1]Table 4 Formula'!$C69</f>
        <v>2590</v>
      </c>
      <c r="AR69" s="62">
        <f t="shared" si="40"/>
        <v>3565.91</v>
      </c>
      <c r="AS69" s="66">
        <f t="shared" si="51"/>
        <v>0.9635433679320875</v>
      </c>
      <c r="AT69" s="163">
        <f t="shared" si="41"/>
        <v>0</v>
      </c>
      <c r="AU69" s="62">
        <f t="shared" si="52"/>
        <v>-35456.2669</v>
      </c>
      <c r="AV69" s="62">
        <f t="shared" si="42"/>
        <v>0</v>
      </c>
      <c r="AW69" s="61">
        <f t="shared" si="53"/>
        <v>0</v>
      </c>
      <c r="AX69" s="62">
        <f t="shared" si="43"/>
        <v>0</v>
      </c>
      <c r="AY69" s="62">
        <f t="shared" si="54"/>
        <v>8864852.26</v>
      </c>
      <c r="AZ69" s="62">
        <f t="shared" si="44"/>
        <v>9200262.8579</v>
      </c>
      <c r="BA69" s="62">
        <f t="shared" si="45"/>
        <v>9200262.8579</v>
      </c>
      <c r="BB69" s="62">
        <f t="shared" si="55"/>
        <v>3700.83</v>
      </c>
      <c r="BC69" s="66">
        <f t="shared" si="56"/>
        <v>1.000000056744031</v>
      </c>
      <c r="BD69" s="66">
        <f t="shared" si="46"/>
        <v>0.83</v>
      </c>
      <c r="BE69" s="62">
        <f t="shared" si="57"/>
        <v>1927095.14</v>
      </c>
      <c r="BF69" s="62">
        <f t="shared" si="58"/>
        <v>775.18</v>
      </c>
      <c r="BG69" s="66">
        <f t="shared" si="47"/>
        <v>0.1732</v>
      </c>
      <c r="BH69" s="62">
        <f t="shared" si="48"/>
        <v>11127358</v>
      </c>
      <c r="BI69" s="62">
        <f t="shared" si="59"/>
        <v>4476.01</v>
      </c>
      <c r="BJ69" s="61">
        <v>2670</v>
      </c>
      <c r="BK69" s="7">
        <v>62</v>
      </c>
      <c r="BL69" s="61" t="s">
        <v>64</v>
      </c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</row>
    <row r="70" spans="1:164" s="7" customFormat="1" ht="12.75">
      <c r="A70" s="60">
        <v>63</v>
      </c>
      <c r="B70" s="61" t="s">
        <v>65</v>
      </c>
      <c r="C70" s="61">
        <v>2191</v>
      </c>
      <c r="D70" s="61">
        <v>943</v>
      </c>
      <c r="E70" s="62">
        <f t="shared" si="10"/>
        <v>496480</v>
      </c>
      <c r="F70" s="63">
        <f t="shared" si="49"/>
        <v>160</v>
      </c>
      <c r="G70" s="61">
        <v>373</v>
      </c>
      <c r="H70" s="62">
        <f t="shared" si="11"/>
        <v>58957</v>
      </c>
      <c r="I70" s="61">
        <f t="shared" si="12"/>
        <v>19</v>
      </c>
      <c r="J70" s="61">
        <v>326</v>
      </c>
      <c r="K70" s="62">
        <f t="shared" si="13"/>
        <v>1517367</v>
      </c>
      <c r="L70" s="61">
        <f t="shared" si="14"/>
        <v>489</v>
      </c>
      <c r="M70" s="61">
        <v>128</v>
      </c>
      <c r="N70" s="62">
        <f t="shared" si="15"/>
        <v>238931</v>
      </c>
      <c r="O70" s="61">
        <f t="shared" si="16"/>
        <v>77</v>
      </c>
      <c r="P70" s="61">
        <f t="shared" si="17"/>
        <v>5309</v>
      </c>
      <c r="Q70" s="58">
        <f t="shared" si="18"/>
        <v>0.14157</v>
      </c>
      <c r="R70" s="62">
        <f t="shared" si="19"/>
        <v>961930</v>
      </c>
      <c r="S70" s="61">
        <f t="shared" si="20"/>
        <v>310</v>
      </c>
      <c r="T70" s="61">
        <f t="shared" si="21"/>
        <v>1055</v>
      </c>
      <c r="U70" s="61">
        <f t="shared" si="22"/>
        <v>3246</v>
      </c>
      <c r="V70" s="62">
        <f t="shared" si="23"/>
        <v>3103</v>
      </c>
      <c r="W70" s="62">
        <f t="shared" si="24"/>
        <v>10072338</v>
      </c>
      <c r="X70" s="65">
        <f>'Tables 6-8 Local Wealth'!M70</f>
        <v>2.64192954</v>
      </c>
      <c r="Y70" s="65">
        <f t="shared" si="25"/>
        <v>0.00330614</v>
      </c>
      <c r="Z70" s="65">
        <f t="shared" si="26"/>
        <v>0.00873459</v>
      </c>
      <c r="AA70" s="62">
        <f t="shared" si="50"/>
        <v>9313656.950971264</v>
      </c>
      <c r="AB70" s="66">
        <f t="shared" si="27"/>
        <v>0.9247</v>
      </c>
      <c r="AC70" s="67">
        <f t="shared" si="28"/>
        <v>758681.0490287356</v>
      </c>
      <c r="AD70" s="66">
        <f t="shared" si="29"/>
        <v>0.0753</v>
      </c>
      <c r="AE70" s="62">
        <f>'Tables 6-8 Local Wealth'!BI70</f>
        <v>9872143.5</v>
      </c>
      <c r="AF70" s="62">
        <f t="shared" si="30"/>
        <v>558486.5490287356</v>
      </c>
      <c r="AG70" s="70">
        <f t="shared" si="31"/>
        <v>0</v>
      </c>
      <c r="AH70" s="62">
        <f t="shared" si="32"/>
        <v>3323872</v>
      </c>
      <c r="AI70" s="62">
        <f t="shared" si="33"/>
        <v>558486.5490287356</v>
      </c>
      <c r="AJ70" s="67">
        <f t="shared" si="34"/>
        <v>0</v>
      </c>
      <c r="AK70" s="66">
        <f t="shared" si="35"/>
        <v>0</v>
      </c>
      <c r="AL70" s="62">
        <f t="shared" si="36"/>
        <v>0</v>
      </c>
      <c r="AM70" s="62">
        <f t="shared" si="37"/>
        <v>558486.5490287356</v>
      </c>
      <c r="AN70" s="62">
        <f t="shared" si="38"/>
        <v>758681.0490287356</v>
      </c>
      <c r="AO70" s="62">
        <f t="shared" si="39"/>
        <v>346.27159</v>
      </c>
      <c r="AP70" s="62">
        <v>6767444</v>
      </c>
      <c r="AQ70" s="57">
        <f>'[1]Table 4 Formula'!$C70</f>
        <v>2224</v>
      </c>
      <c r="AR70" s="62">
        <f t="shared" si="40"/>
        <v>3042.92</v>
      </c>
      <c r="AS70" s="66">
        <f t="shared" si="51"/>
        <v>8.787668662046459</v>
      </c>
      <c r="AT70" s="163">
        <f t="shared" si="41"/>
        <v>0</v>
      </c>
      <c r="AU70" s="62">
        <f t="shared" si="52"/>
        <v>-100406.28</v>
      </c>
      <c r="AV70" s="62">
        <f t="shared" si="42"/>
        <v>5908356.6663</v>
      </c>
      <c r="AW70" s="61">
        <f t="shared" si="53"/>
        <v>2191</v>
      </c>
      <c r="AX70" s="62">
        <f t="shared" si="43"/>
        <v>2696.648409995436</v>
      </c>
      <c r="AY70" s="62">
        <f t="shared" si="54"/>
        <v>6667037.72</v>
      </c>
      <c r="AZ70" s="62">
        <f t="shared" si="44"/>
        <v>758681.0537</v>
      </c>
      <c r="BA70" s="62">
        <f t="shared" si="45"/>
        <v>6667037.72</v>
      </c>
      <c r="BB70" s="62">
        <f t="shared" si="55"/>
        <v>3042.92</v>
      </c>
      <c r="BC70" s="66">
        <f t="shared" si="56"/>
        <v>8.787668662046459</v>
      </c>
      <c r="BD70" s="66">
        <f t="shared" si="46"/>
        <v>0.63</v>
      </c>
      <c r="BE70" s="62">
        <f t="shared" si="57"/>
        <v>3963786.83</v>
      </c>
      <c r="BF70" s="62">
        <f t="shared" si="58"/>
        <v>1809.12</v>
      </c>
      <c r="BG70" s="66">
        <f t="shared" si="47"/>
        <v>0.3729</v>
      </c>
      <c r="BH70" s="62">
        <f t="shared" si="48"/>
        <v>10630824.55</v>
      </c>
      <c r="BI70" s="62">
        <f t="shared" si="59"/>
        <v>4852.04</v>
      </c>
      <c r="BJ70" s="61">
        <v>2171</v>
      </c>
      <c r="BK70" s="7">
        <v>63</v>
      </c>
      <c r="BL70" s="61" t="s">
        <v>65</v>
      </c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</row>
    <row r="71" spans="1:164" s="7" customFormat="1" ht="12.75">
      <c r="A71" s="60">
        <v>64</v>
      </c>
      <c r="B71" s="61" t="s">
        <v>66</v>
      </c>
      <c r="C71" s="61">
        <v>2870</v>
      </c>
      <c r="D71" s="61">
        <v>1768</v>
      </c>
      <c r="E71" s="62">
        <f t="shared" si="10"/>
        <v>934003</v>
      </c>
      <c r="F71" s="63">
        <f t="shared" si="49"/>
        <v>301</v>
      </c>
      <c r="G71" s="61">
        <v>1308</v>
      </c>
      <c r="H71" s="62">
        <f t="shared" si="11"/>
        <v>201695</v>
      </c>
      <c r="I71" s="61">
        <f t="shared" si="12"/>
        <v>65</v>
      </c>
      <c r="J71" s="61">
        <v>332</v>
      </c>
      <c r="K71" s="62">
        <f t="shared" si="13"/>
        <v>1545294</v>
      </c>
      <c r="L71" s="61">
        <f t="shared" si="14"/>
        <v>498</v>
      </c>
      <c r="M71" s="61">
        <v>61</v>
      </c>
      <c r="N71" s="62">
        <f t="shared" si="15"/>
        <v>114811</v>
      </c>
      <c r="O71" s="61">
        <f t="shared" si="16"/>
        <v>37</v>
      </c>
      <c r="P71" s="61">
        <f t="shared" si="17"/>
        <v>4630</v>
      </c>
      <c r="Q71" s="58">
        <f t="shared" si="18"/>
        <v>0.12347</v>
      </c>
      <c r="R71" s="62">
        <f t="shared" si="19"/>
        <v>1098462</v>
      </c>
      <c r="S71" s="61">
        <f t="shared" si="20"/>
        <v>354</v>
      </c>
      <c r="T71" s="61">
        <f t="shared" si="21"/>
        <v>1255</v>
      </c>
      <c r="U71" s="61">
        <f t="shared" si="22"/>
        <v>4125</v>
      </c>
      <c r="V71" s="62">
        <f t="shared" si="23"/>
        <v>3103</v>
      </c>
      <c r="W71" s="62">
        <f t="shared" si="24"/>
        <v>12799875</v>
      </c>
      <c r="X71" s="65">
        <f>'Tables 6-8 Local Wealth'!M71</f>
        <v>0.7142642</v>
      </c>
      <c r="Y71" s="65">
        <f t="shared" si="25"/>
        <v>0.00420142</v>
      </c>
      <c r="Z71" s="65">
        <f t="shared" si="26"/>
        <v>0.00300092</v>
      </c>
      <c r="AA71" s="62">
        <f t="shared" si="50"/>
        <v>3199868.5018196255</v>
      </c>
      <c r="AB71" s="66">
        <f t="shared" si="27"/>
        <v>0.25</v>
      </c>
      <c r="AC71" s="67">
        <f t="shared" si="28"/>
        <v>9600006.498180375</v>
      </c>
      <c r="AD71" s="66">
        <f t="shared" si="29"/>
        <v>0.75</v>
      </c>
      <c r="AE71" s="62">
        <f>'Tables 6-8 Local Wealth'!BI71</f>
        <v>5975284.5</v>
      </c>
      <c r="AF71" s="62">
        <f t="shared" si="30"/>
        <v>2775415.9981803745</v>
      </c>
      <c r="AG71" s="70">
        <f t="shared" si="31"/>
        <v>0</v>
      </c>
      <c r="AH71" s="62">
        <f t="shared" si="32"/>
        <v>4223959</v>
      </c>
      <c r="AI71" s="62">
        <f t="shared" si="33"/>
        <v>2775415.9981803745</v>
      </c>
      <c r="AJ71" s="67">
        <f t="shared" si="34"/>
        <v>1585987.8256158708</v>
      </c>
      <c r="AK71" s="66">
        <f t="shared" si="35"/>
        <v>0.5714414800000001</v>
      </c>
      <c r="AL71" s="62">
        <f t="shared" si="36"/>
        <v>827757.5568034495</v>
      </c>
      <c r="AM71" s="62">
        <f t="shared" si="37"/>
        <v>4361403.823796245</v>
      </c>
      <c r="AN71" s="62">
        <f t="shared" si="38"/>
        <v>11185994.323796246</v>
      </c>
      <c r="AO71" s="62">
        <f t="shared" si="39"/>
        <v>3897.559</v>
      </c>
      <c r="AP71" s="62">
        <v>10595179.2711</v>
      </c>
      <c r="AQ71" s="57">
        <f>'[1]Table 4 Formula'!$C71</f>
        <v>2935</v>
      </c>
      <c r="AR71" s="62">
        <f t="shared" si="40"/>
        <v>3609.94</v>
      </c>
      <c r="AS71" s="66">
        <f t="shared" si="51"/>
        <v>0.9262053505796833</v>
      </c>
      <c r="AT71" s="163">
        <f t="shared" si="41"/>
        <v>590815.0526962467</v>
      </c>
      <c r="AU71" s="62">
        <f t="shared" si="52"/>
        <v>590815.0589</v>
      </c>
      <c r="AV71" s="62">
        <f t="shared" si="42"/>
        <v>0</v>
      </c>
      <c r="AW71" s="61">
        <f t="shared" si="53"/>
        <v>0</v>
      </c>
      <c r="AX71" s="62">
        <f t="shared" si="43"/>
        <v>0</v>
      </c>
      <c r="AY71" s="62">
        <f t="shared" si="54"/>
        <v>10360527.8</v>
      </c>
      <c r="AZ71" s="62">
        <f t="shared" si="44"/>
        <v>11185994.33</v>
      </c>
      <c r="BA71" s="62">
        <f t="shared" si="45"/>
        <v>11185994.33</v>
      </c>
      <c r="BB71" s="62">
        <f t="shared" si="55"/>
        <v>3897.56</v>
      </c>
      <c r="BC71" s="66">
        <f t="shared" si="56"/>
        <v>1.0000002565708435</v>
      </c>
      <c r="BD71" s="66">
        <f t="shared" si="46"/>
        <v>0.65</v>
      </c>
      <c r="BE71" s="62">
        <f t="shared" si="57"/>
        <v>5975284.5</v>
      </c>
      <c r="BF71" s="62">
        <f t="shared" si="58"/>
        <v>2081.98</v>
      </c>
      <c r="BG71" s="66">
        <f t="shared" si="47"/>
        <v>0.3482</v>
      </c>
      <c r="BH71" s="62">
        <f t="shared" si="48"/>
        <v>17161278.83</v>
      </c>
      <c r="BI71" s="62">
        <f t="shared" si="59"/>
        <v>5979.54</v>
      </c>
      <c r="BJ71" s="61">
        <v>3214</v>
      </c>
      <c r="BK71" s="7">
        <v>64</v>
      </c>
      <c r="BL71" s="61" t="s">
        <v>66</v>
      </c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</row>
    <row r="72" spans="1:164" s="7" customFormat="1" ht="12.75">
      <c r="A72" s="60">
        <v>65</v>
      </c>
      <c r="B72" s="61" t="s">
        <v>67</v>
      </c>
      <c r="C72" s="61">
        <v>10208</v>
      </c>
      <c r="D72" s="61">
        <v>7435</v>
      </c>
      <c r="E72" s="62">
        <f t="shared" si="10"/>
        <v>3922192</v>
      </c>
      <c r="F72" s="63">
        <f t="shared" si="49"/>
        <v>1264</v>
      </c>
      <c r="G72" s="61">
        <v>2654</v>
      </c>
      <c r="H72" s="62">
        <f t="shared" si="11"/>
        <v>412699</v>
      </c>
      <c r="I72" s="61">
        <f t="shared" si="12"/>
        <v>133</v>
      </c>
      <c r="J72" s="61">
        <v>1310</v>
      </c>
      <c r="K72" s="62">
        <f t="shared" si="13"/>
        <v>6097395</v>
      </c>
      <c r="L72" s="61">
        <f t="shared" si="14"/>
        <v>1965</v>
      </c>
      <c r="M72" s="61">
        <v>717</v>
      </c>
      <c r="N72" s="62">
        <f t="shared" si="15"/>
        <v>1334290</v>
      </c>
      <c r="O72" s="61">
        <f t="shared" si="16"/>
        <v>430</v>
      </c>
      <c r="P72" s="61">
        <f t="shared" si="17"/>
        <v>0</v>
      </c>
      <c r="Q72" s="58">
        <f t="shared" si="18"/>
        <v>0</v>
      </c>
      <c r="R72" s="62">
        <f t="shared" si="19"/>
        <v>0</v>
      </c>
      <c r="S72" s="61">
        <f t="shared" si="20"/>
        <v>0</v>
      </c>
      <c r="T72" s="61">
        <f t="shared" si="21"/>
        <v>3792</v>
      </c>
      <c r="U72" s="61">
        <f t="shared" si="22"/>
        <v>14000</v>
      </c>
      <c r="V72" s="62">
        <f t="shared" si="23"/>
        <v>3103</v>
      </c>
      <c r="W72" s="62">
        <f t="shared" si="24"/>
        <v>43442000</v>
      </c>
      <c r="X72" s="65">
        <f>'Tables 6-8 Local Wealth'!M72</f>
        <v>1.19075891</v>
      </c>
      <c r="Y72" s="65">
        <f t="shared" si="25"/>
        <v>0.01425936</v>
      </c>
      <c r="Z72" s="65">
        <f t="shared" si="26"/>
        <v>0.01697946</v>
      </c>
      <c r="AA72" s="62">
        <f>IF(W$75*Z72*AA$4&lt;W72,W$75*Z72*AA$4,W72)</f>
        <v>18105127.50486726</v>
      </c>
      <c r="AB72" s="66">
        <f t="shared" si="27"/>
        <v>0.4168</v>
      </c>
      <c r="AC72" s="67">
        <f t="shared" si="28"/>
        <v>25336872.49513274</v>
      </c>
      <c r="AD72" s="66">
        <f t="shared" si="29"/>
        <v>0.5832</v>
      </c>
      <c r="AE72" s="62">
        <f>'Tables 6-8 Local Wealth'!BI72</f>
        <v>22717792</v>
      </c>
      <c r="AF72" s="62">
        <f t="shared" si="30"/>
        <v>4612664.495132741</v>
      </c>
      <c r="AG72" s="70">
        <f t="shared" si="31"/>
        <v>0</v>
      </c>
      <c r="AH72" s="62">
        <f t="shared" si="32"/>
        <v>14335860</v>
      </c>
      <c r="AI72" s="62">
        <f t="shared" si="33"/>
        <v>4612664.495132741</v>
      </c>
      <c r="AJ72" s="67">
        <f t="shared" si="34"/>
        <v>1317121.6872807634</v>
      </c>
      <c r="AK72" s="66">
        <f t="shared" si="35"/>
        <v>0.28554465400000006</v>
      </c>
      <c r="AL72" s="62">
        <f t="shared" si="36"/>
        <v>2776406.4962116773</v>
      </c>
      <c r="AM72" s="62">
        <f t="shared" si="37"/>
        <v>5929786.1824135035</v>
      </c>
      <c r="AN72" s="62">
        <f t="shared" si="38"/>
        <v>26653994.182413504</v>
      </c>
      <c r="AO72" s="62">
        <f t="shared" si="39"/>
        <v>2611.08877</v>
      </c>
      <c r="AP72" s="62">
        <v>24815915.7246</v>
      </c>
      <c r="AQ72" s="57">
        <f>'[1]Table 4 Formula'!$C72</f>
        <v>10164</v>
      </c>
      <c r="AR72" s="62">
        <f t="shared" si="40"/>
        <v>2441.55</v>
      </c>
      <c r="AS72" s="66">
        <f>IF(AO72&gt;0,AR72/AO72,0)</f>
        <v>0.9350697027431971</v>
      </c>
      <c r="AT72" s="163">
        <f t="shared" si="41"/>
        <v>1838078.457813505</v>
      </c>
      <c r="AU72" s="62">
        <f t="shared" si="52"/>
        <v>1838078.4396</v>
      </c>
      <c r="AV72" s="62">
        <f t="shared" si="42"/>
        <v>0</v>
      </c>
      <c r="AW72" s="61">
        <f>IF(AV72&gt;0,C72,0)</f>
        <v>0</v>
      </c>
      <c r="AX72" s="62">
        <f t="shared" si="43"/>
        <v>0</v>
      </c>
      <c r="AY72" s="62">
        <f t="shared" si="54"/>
        <v>24815915.7246</v>
      </c>
      <c r="AZ72" s="62">
        <f t="shared" si="44"/>
        <v>26653994.1642</v>
      </c>
      <c r="BA72" s="62">
        <f t="shared" si="45"/>
        <v>26653994.1642</v>
      </c>
      <c r="BB72" s="62">
        <f>ROUND(BA72/C72,2)</f>
        <v>2611.09</v>
      </c>
      <c r="BC72" s="66">
        <f>IF(AO72&gt;0,BB72/AO72,0)</f>
        <v>1.0000004710678605</v>
      </c>
      <c r="BD72" s="66">
        <f t="shared" si="46"/>
        <v>0.54</v>
      </c>
      <c r="BE72" s="62">
        <f t="shared" si="57"/>
        <v>22717792</v>
      </c>
      <c r="BF72" s="62">
        <f>ROUND(BE72/C72,2)</f>
        <v>2225.49</v>
      </c>
      <c r="BG72" s="66">
        <f t="shared" si="47"/>
        <v>0.4601</v>
      </c>
      <c r="BH72" s="62">
        <f t="shared" si="48"/>
        <v>49371786.16</v>
      </c>
      <c r="BI72" s="62">
        <f>ROUND(BH72/C72,2)</f>
        <v>4836.58</v>
      </c>
      <c r="BJ72" s="61">
        <v>10542</v>
      </c>
      <c r="BK72" s="7">
        <v>65</v>
      </c>
      <c r="BL72" s="61" t="s">
        <v>67</v>
      </c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</row>
    <row r="73" spans="1:164" s="7" customFormat="1" ht="12.75">
      <c r="A73" s="60">
        <v>66</v>
      </c>
      <c r="B73" s="61" t="s">
        <v>68</v>
      </c>
      <c r="C73" s="61">
        <v>3076</v>
      </c>
      <c r="D73" s="61">
        <v>2094</v>
      </c>
      <c r="E73" s="62">
        <f>ROUND(V73*F73,0)</f>
        <v>1104668</v>
      </c>
      <c r="F73" s="63">
        <f>ROUND(D73*F$4,0)</f>
        <v>356</v>
      </c>
      <c r="G73" s="61">
        <v>646</v>
      </c>
      <c r="H73" s="62">
        <f>ROUND(I73*V73,0)</f>
        <v>99296</v>
      </c>
      <c r="I73" s="61">
        <f>ROUND(G73*I$4,0)</f>
        <v>32</v>
      </c>
      <c r="J73" s="61">
        <v>590</v>
      </c>
      <c r="K73" s="62">
        <f>ROUND(L73*V73,0)</f>
        <v>2746155</v>
      </c>
      <c r="L73" s="61">
        <f>ROUND(J73*L$4,0)</f>
        <v>885</v>
      </c>
      <c r="M73" s="61">
        <v>282</v>
      </c>
      <c r="N73" s="62">
        <f>ROUND(O73*V73,0)</f>
        <v>524407</v>
      </c>
      <c r="O73" s="61">
        <f>ROUND(M73*O$4,0)</f>
        <v>169</v>
      </c>
      <c r="P73" s="61">
        <f>IF(C73&lt;7500,7500-C73,0)</f>
        <v>4424</v>
      </c>
      <c r="Q73" s="58">
        <f>ROUND(P73/37500,5)</f>
        <v>0.11797</v>
      </c>
      <c r="R73" s="62">
        <f>ROUND(S73*V73,0)</f>
        <v>1126389</v>
      </c>
      <c r="S73" s="61">
        <f>ROUND(C73*Q73,0)</f>
        <v>363</v>
      </c>
      <c r="T73" s="61">
        <f>SUM(F73+I73+L73+O73+S73,0)</f>
        <v>1805</v>
      </c>
      <c r="U73" s="61">
        <f>T73+C73</f>
        <v>4881</v>
      </c>
      <c r="V73" s="62">
        <f>V$75</f>
        <v>3103</v>
      </c>
      <c r="W73" s="62">
        <f>ROUND(U73*V73,0)</f>
        <v>15145743</v>
      </c>
      <c r="X73" s="65">
        <f>'Tables 6-8 Local Wealth'!M73</f>
        <v>0.64001228</v>
      </c>
      <c r="Y73" s="65">
        <f>ROUND(U73/U$75,8)</f>
        <v>0.00497143</v>
      </c>
      <c r="Z73" s="65">
        <f>ROUND(X73*Y73,8)</f>
        <v>0.00318178</v>
      </c>
      <c r="AA73" s="62">
        <f>IF(W$75*Z73*AA$4&lt;W73,W$75*Z73*AA$4,W73)</f>
        <v>3392718.7668180587</v>
      </c>
      <c r="AB73" s="66">
        <f>ROUND(AA73/W73,4)</f>
        <v>0.224</v>
      </c>
      <c r="AC73" s="67">
        <f>IF(W73-AA73&gt;0,W73-AA73,0)</f>
        <v>11753024.233181942</v>
      </c>
      <c r="AD73" s="66">
        <f>ROUND(AC73/W73,4)</f>
        <v>0.776</v>
      </c>
      <c r="AE73" s="62">
        <f>'Tables 6-8 Local Wealth'!BI73</f>
        <v>4087671</v>
      </c>
      <c r="AF73" s="62">
        <f>IF(AE73-AA73&gt;0,AE73-AA73,0)</f>
        <v>694952.2331819413</v>
      </c>
      <c r="AG73" s="70">
        <f>IF(AE73-AA73&lt;0,AE73-AA73,0)</f>
        <v>0</v>
      </c>
      <c r="AH73" s="62">
        <f>ROUND(W73*AH$4,0)</f>
        <v>4998095</v>
      </c>
      <c r="AI73" s="62">
        <f>IF(AF73&lt;AH73,AF73,AH73)</f>
        <v>694952.2331819413</v>
      </c>
      <c r="AJ73" s="67">
        <f>IF((1-((1-AJ$4)*X73))*AI73&gt;0,(1-((1-AJ$4)*X73))*AI73,0)</f>
        <v>428085.45523202175</v>
      </c>
      <c r="AK73" s="66">
        <f>IF(AI73=0,0,AJ73/AI73)</f>
        <v>0.615992632</v>
      </c>
      <c r="AL73" s="62">
        <f>IF(((1-((1-AL$4)*X73))*AH73)-AJ73&gt;0,((1-((1-AL$4)*X73))*AH73)-AJ73,0)</f>
        <v>2650704.238804018</v>
      </c>
      <c r="AM73" s="62">
        <f>AI73+AJ73</f>
        <v>1123037.6884139632</v>
      </c>
      <c r="AN73" s="62">
        <f>AC73+AJ73</f>
        <v>12181109.688413965</v>
      </c>
      <c r="AO73" s="62">
        <f>ROUND(AN73/C73,5)</f>
        <v>3960.04866</v>
      </c>
      <c r="AP73" s="62">
        <v>11454241.178</v>
      </c>
      <c r="AQ73" s="57">
        <f>'[1]Table 4 Formula'!$C73</f>
        <v>3086</v>
      </c>
      <c r="AR73" s="62">
        <f>ROUND(AP73/AQ73,2)</f>
        <v>3711.68</v>
      </c>
      <c r="AS73" s="66">
        <f>IF(AO73&gt;0,AR73/AO73,0)</f>
        <v>0.9372814120925473</v>
      </c>
      <c r="AT73" s="163">
        <f>IF(AN73&gt;AP73,AN73-AP73,0)</f>
        <v>726868.5104139652</v>
      </c>
      <c r="AU73" s="62">
        <f t="shared" si="52"/>
        <v>726868.5002</v>
      </c>
      <c r="AV73" s="62">
        <f>IF(AY73&gt;AZ73,AY73-AZ73,0)</f>
        <v>0</v>
      </c>
      <c r="AW73" s="61">
        <f>IF(AV73&gt;0,C73,0)</f>
        <v>0</v>
      </c>
      <c r="AX73" s="62">
        <f>IF(AV73&lt;1,0,AV73/AW73)</f>
        <v>0</v>
      </c>
      <c r="AY73" s="62">
        <f t="shared" si="54"/>
        <v>11417127.68</v>
      </c>
      <c r="AZ73" s="62">
        <f>ROUND(AO73*C73,4)</f>
        <v>12181109.6782</v>
      </c>
      <c r="BA73" s="62">
        <f>IF(AY73&gt;AZ73,AY73,AZ73)</f>
        <v>12181109.6782</v>
      </c>
      <c r="BB73" s="62">
        <f>ROUND(BA73/C73,2)</f>
        <v>3960.05</v>
      </c>
      <c r="BC73" s="66">
        <f>IF(AO73&gt;0,BB73/AO73,0)</f>
        <v>1.0000003383796805</v>
      </c>
      <c r="BD73" s="66">
        <f>ROUND(BA73/BH73,2)</f>
        <v>0.75</v>
      </c>
      <c r="BE73" s="62">
        <f t="shared" si="57"/>
        <v>4087671</v>
      </c>
      <c r="BF73" s="62">
        <f>ROUND(BE73/C73,2)</f>
        <v>1328.89</v>
      </c>
      <c r="BG73" s="66">
        <f>ROUND(BE73/BH73,4)</f>
        <v>0.2513</v>
      </c>
      <c r="BH73" s="62">
        <f>ROUND(BA73+BE73,2)</f>
        <v>16268780.68</v>
      </c>
      <c r="BI73" s="62">
        <f>ROUND(BH73/C73,2)</f>
        <v>5288.94</v>
      </c>
      <c r="BJ73" s="61">
        <v>3378</v>
      </c>
      <c r="BK73" s="7">
        <v>66</v>
      </c>
      <c r="BL73" s="61" t="s">
        <v>68</v>
      </c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</row>
    <row r="74" spans="1:64" ht="12.75">
      <c r="A74" s="55"/>
      <c r="B74" s="56"/>
      <c r="C74" s="56"/>
      <c r="D74" s="56"/>
      <c r="E74" s="56" t="s">
        <v>0</v>
      </c>
      <c r="F74" s="57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8"/>
      <c r="R74" s="56"/>
      <c r="S74" s="56"/>
      <c r="T74" s="56"/>
      <c r="U74" s="56"/>
      <c r="V74" s="56"/>
      <c r="W74" s="56"/>
      <c r="X74" s="58"/>
      <c r="Y74" s="58"/>
      <c r="Z74" s="58"/>
      <c r="AA74" s="56"/>
      <c r="AB74" s="56"/>
      <c r="AC74" s="59"/>
      <c r="AD74" s="68"/>
      <c r="AE74" s="56"/>
      <c r="AF74" s="56"/>
      <c r="AG74" s="56"/>
      <c r="AH74" s="56"/>
      <c r="AI74" s="56"/>
      <c r="AJ74" s="59"/>
      <c r="AK74" s="68"/>
      <c r="AL74" s="56"/>
      <c r="AM74" s="56"/>
      <c r="AN74" s="56"/>
      <c r="AO74" s="69"/>
      <c r="AP74" s="69"/>
      <c r="AQ74" s="57"/>
      <c r="AR74" s="69"/>
      <c r="AS74" s="56"/>
      <c r="AT74" s="56"/>
      <c r="AU74" s="56"/>
      <c r="AV74" s="56"/>
      <c r="AW74" s="56"/>
      <c r="AX74" s="69"/>
      <c r="AY74" s="56"/>
      <c r="AZ74" s="56"/>
      <c r="BA74" s="56"/>
      <c r="BB74" s="69"/>
      <c r="BC74" s="68"/>
      <c r="BD74" s="68"/>
      <c r="BE74" s="56"/>
      <c r="BF74" s="70"/>
      <c r="BG74" s="66"/>
      <c r="BH74" s="56"/>
      <c r="BI74" s="70"/>
      <c r="BJ74" s="56"/>
      <c r="BL74" s="56"/>
    </row>
    <row r="75" spans="1:64" ht="13.5" thickBot="1">
      <c r="A75" s="71"/>
      <c r="B75" s="283" t="s">
        <v>69</v>
      </c>
      <c r="C75" s="300">
        <f aca="true" t="shared" si="60" ref="C75:P75">SUM(C8:C73)</f>
        <v>727255</v>
      </c>
      <c r="D75" s="300">
        <f t="shared" si="60"/>
        <v>422906</v>
      </c>
      <c r="E75" s="288">
        <f t="shared" si="60"/>
        <v>223083979</v>
      </c>
      <c r="F75" s="284">
        <f t="shared" si="60"/>
        <v>71893</v>
      </c>
      <c r="G75" s="300">
        <f t="shared" si="60"/>
        <v>185092</v>
      </c>
      <c r="H75" s="288">
        <f t="shared" si="60"/>
        <v>28721368</v>
      </c>
      <c r="I75" s="300">
        <f t="shared" si="60"/>
        <v>9256</v>
      </c>
      <c r="J75" s="300">
        <f t="shared" si="60"/>
        <v>97062</v>
      </c>
      <c r="K75" s="301">
        <f t="shared" si="60"/>
        <v>451821624</v>
      </c>
      <c r="L75" s="300">
        <f t="shared" si="60"/>
        <v>145608</v>
      </c>
      <c r="M75" s="300">
        <f t="shared" si="60"/>
        <v>25924</v>
      </c>
      <c r="N75" s="288">
        <f t="shared" si="60"/>
        <v>48264062</v>
      </c>
      <c r="O75" s="300">
        <f t="shared" si="60"/>
        <v>15554</v>
      </c>
      <c r="P75" s="300">
        <f t="shared" si="60"/>
        <v>150358</v>
      </c>
      <c r="Q75" s="302"/>
      <c r="R75" s="288">
        <f>SUM(R8:R73)</f>
        <v>37996235</v>
      </c>
      <c r="S75" s="300">
        <f>SUM(S8:S73)</f>
        <v>12245</v>
      </c>
      <c r="T75" s="300">
        <f>SUM(T8:T73)</f>
        <v>254556</v>
      </c>
      <c r="U75" s="300">
        <f>SUM(U8:U73)</f>
        <v>981811</v>
      </c>
      <c r="V75" s="288">
        <v>3103</v>
      </c>
      <c r="W75" s="288">
        <f>SUM(W8:W73)</f>
        <v>3046559533</v>
      </c>
      <c r="X75" s="302">
        <f>'Tables 6-8 Local Wealth'!M75</f>
        <v>1</v>
      </c>
      <c r="Y75" s="302">
        <f>ROUND(U75/U$75,8)</f>
        <v>1</v>
      </c>
      <c r="Z75" s="302">
        <f>ROUND(X75*Y75,8)</f>
        <v>1</v>
      </c>
      <c r="AA75" s="288">
        <f>SUM(AA8:AA73)</f>
        <v>1066296614.9459608</v>
      </c>
      <c r="AB75" s="303">
        <f>ROUND(AA75/W75,4)</f>
        <v>0.35</v>
      </c>
      <c r="AC75" s="288">
        <f>SUM(AC8:AC73)</f>
        <v>1980262918.0540388</v>
      </c>
      <c r="AD75" s="303">
        <f>ROUND(AC75/W75,4)</f>
        <v>0.65</v>
      </c>
      <c r="AE75" s="288">
        <f aca="true" t="shared" si="61" ref="AE75:AJ75">SUM(AE8:AE73)</f>
        <v>1694006977.5</v>
      </c>
      <c r="AF75" s="288">
        <f t="shared" si="61"/>
        <v>629837106.2745899</v>
      </c>
      <c r="AG75" s="288">
        <f t="shared" si="61"/>
        <v>-2126743.7205504775</v>
      </c>
      <c r="AH75" s="288">
        <f t="shared" si="61"/>
        <v>1005364646</v>
      </c>
      <c r="AI75" s="288">
        <f t="shared" si="61"/>
        <v>598062738.9851298</v>
      </c>
      <c r="AJ75" s="288">
        <f t="shared" si="61"/>
        <v>216499626.7742895</v>
      </c>
      <c r="AK75" s="303">
        <f>IF(AI75=0,0,AJ75/AI75)</f>
        <v>0.3620015303773548</v>
      </c>
      <c r="AL75" s="288">
        <f>SUM(AL8:AL73)</f>
        <v>193072165.93571264</v>
      </c>
      <c r="AM75" s="288">
        <f>SUM(AM8:AM73)</f>
        <v>814562365.7594193</v>
      </c>
      <c r="AN75" s="288">
        <f>SUM(AN8:AN73)</f>
        <v>2196762544.828328</v>
      </c>
      <c r="AO75" s="288">
        <f>ROUND(AN75/C75,5)</f>
        <v>3020.62213</v>
      </c>
      <c r="AP75" s="288">
        <f>SUM(AP8:AP73)</f>
        <v>2253136738.5176</v>
      </c>
      <c r="AQ75" s="284">
        <f>SUM(AQ8:AQ73)</f>
        <v>738624</v>
      </c>
      <c r="AR75" s="288">
        <f>ROUND(AP75/AQ75,2)</f>
        <v>3050.45</v>
      </c>
      <c r="AS75" s="303">
        <f>IF(AO75&gt;0,AR75/AO75,0)</f>
        <v>1.0098747439157507</v>
      </c>
      <c r="AT75" s="288">
        <f>SUM(AT8:AT73)</f>
        <v>47491331.001027934</v>
      </c>
      <c r="AU75" s="288">
        <f>SUM(AU8:AU73)</f>
        <v>31482164.723499995</v>
      </c>
      <c r="AV75" s="288">
        <f>SUM(AV8:AV73)</f>
        <v>87856358.52379997</v>
      </c>
      <c r="AW75" s="288">
        <f>SUM(AW8:AW73)</f>
        <v>171475</v>
      </c>
      <c r="AX75" s="288">
        <f>IF(AV75&lt;1,0,AV75/AW75)</f>
        <v>512.3566614596879</v>
      </c>
      <c r="AY75" s="288">
        <f>SUM(AY8:AY73)</f>
        <v>2215404734.3171997</v>
      </c>
      <c r="AZ75" s="288">
        <f>SUM(AZ8:AZ73)</f>
        <v>2196762544.717299</v>
      </c>
      <c r="BA75" s="288">
        <f>SUM(BA8:BA73)</f>
        <v>2284618903.2410994</v>
      </c>
      <c r="BB75" s="288">
        <f>ROUND(BA75/C75,2)</f>
        <v>3141.43</v>
      </c>
      <c r="BC75" s="303">
        <f>IF(AO75&gt;0,BB75/AO75,0)</f>
        <v>1.0399943669882334</v>
      </c>
      <c r="BD75" s="303">
        <f>ROUND(BA75/BH75,2)</f>
        <v>0.59</v>
      </c>
      <c r="BE75" s="288">
        <f>SUM(BE8:BE73)</f>
        <v>1576502995.39</v>
      </c>
      <c r="BF75" s="288">
        <f>ROUND(BE75/C75,2)</f>
        <v>2167.74</v>
      </c>
      <c r="BG75" s="304">
        <f>ROUND(BE75/BH75,4)</f>
        <v>0.4083</v>
      </c>
      <c r="BH75" s="288">
        <f>SUM(BH8:BH73)</f>
        <v>3861121898.629999</v>
      </c>
      <c r="BI75" s="288">
        <f>ROUND(BH75/C75,2)</f>
        <v>5309.17</v>
      </c>
      <c r="BJ75" s="73">
        <f>SUM(BJ8:BJ73)</f>
        <v>763840</v>
      </c>
      <c r="BK75" s="82"/>
      <c r="BL75" s="72" t="s">
        <v>2</v>
      </c>
    </row>
    <row r="76" spans="22:56" ht="13.5" thickTop="1">
      <c r="V76" s="98"/>
      <c r="X76" s="5" t="s">
        <v>0</v>
      </c>
      <c r="Y76" s="5"/>
      <c r="BA76" s="9"/>
      <c r="BD76" s="8"/>
    </row>
    <row r="77" s="166" customFormat="1" ht="12.75">
      <c r="A77" s="165"/>
    </row>
    <row r="78" spans="11:53" ht="12.75">
      <c r="K78" s="9"/>
      <c r="L78" s="9"/>
      <c r="M78" s="9"/>
      <c r="X78" s="5"/>
      <c r="Y78" s="5"/>
      <c r="AC78" s="9"/>
      <c r="AN78" s="9"/>
      <c r="BA78" s="10"/>
    </row>
    <row r="79" spans="6:53" ht="12.75">
      <c r="F79" s="3"/>
      <c r="X79" s="5"/>
      <c r="Y79" s="5"/>
      <c r="AN79" s="9"/>
      <c r="BA79" s="9"/>
    </row>
    <row r="80" spans="6:53" ht="12.75">
      <c r="F80" s="3"/>
      <c r="X80" s="5"/>
      <c r="Y80" s="5"/>
      <c r="AN80" s="9"/>
      <c r="BA80" s="9"/>
    </row>
    <row r="81" spans="6:61" ht="12.75">
      <c r="F81" s="3"/>
      <c r="X81" s="5"/>
      <c r="Y81" s="5"/>
      <c r="AN81" s="9"/>
      <c r="AO81" s="8"/>
      <c r="AP81" s="8"/>
      <c r="AQ81" s="8"/>
      <c r="BA81" s="9"/>
      <c r="BB81" s="8"/>
      <c r="BF81" s="8"/>
      <c r="BI81" s="8"/>
    </row>
    <row r="82" spans="6:53" ht="12.75">
      <c r="F82" s="3"/>
      <c r="X82" s="5"/>
      <c r="Y82" s="5"/>
      <c r="AN82" s="9"/>
      <c r="BA82" s="9"/>
    </row>
    <row r="83" spans="6:53" ht="12.75">
      <c r="F83" s="3"/>
      <c r="X83" s="5"/>
      <c r="Y83" s="5"/>
      <c r="AN83" s="9"/>
      <c r="BA83" s="9"/>
    </row>
    <row r="84" spans="6:53" ht="12.75">
      <c r="F84" s="3"/>
      <c r="X84" s="5"/>
      <c r="Y84" s="5"/>
      <c r="AN84" s="9"/>
      <c r="BA84" s="9"/>
    </row>
    <row r="85" spans="6:53" ht="12.75">
      <c r="F85" s="3"/>
      <c r="X85" s="5"/>
      <c r="Y85" s="5"/>
      <c r="AN85" s="9"/>
      <c r="BA85" s="9"/>
    </row>
    <row r="86" spans="6:53" ht="12.75">
      <c r="F86" s="3"/>
      <c r="X86" s="5"/>
      <c r="Y86" s="5"/>
      <c r="AN86" s="9"/>
      <c r="BA86" s="9"/>
    </row>
    <row r="87" spans="6:53" ht="12.75">
      <c r="F87" s="3"/>
      <c r="X87" s="5"/>
      <c r="Y87" s="5"/>
      <c r="AN87" s="9"/>
      <c r="BA87" s="9"/>
    </row>
    <row r="88" spans="6:53" ht="12.75">
      <c r="F88" s="3"/>
      <c r="X88" s="5"/>
      <c r="Y88" s="5"/>
      <c r="AN88" s="9"/>
      <c r="BA88" s="9"/>
    </row>
    <row r="89" spans="6:53" ht="12.75">
      <c r="F89" s="3"/>
      <c r="X89" s="5"/>
      <c r="Y89" s="5"/>
      <c r="AN89" s="9"/>
      <c r="BA89" s="9"/>
    </row>
    <row r="90" spans="6:53" ht="12.75">
      <c r="F90" s="3"/>
      <c r="X90" s="5"/>
      <c r="Y90" s="5"/>
      <c r="AN90" s="9"/>
      <c r="BA90" s="9"/>
    </row>
    <row r="91" spans="6:53" ht="12.75">
      <c r="F91" s="3"/>
      <c r="X91" s="5"/>
      <c r="Y91" s="5"/>
      <c r="AN91" s="9"/>
      <c r="BA91" s="9"/>
    </row>
    <row r="92" spans="6:53" ht="12.75">
      <c r="F92" s="3"/>
      <c r="X92" s="5"/>
      <c r="Y92" s="5"/>
      <c r="AN92" s="9"/>
      <c r="BA92" s="9"/>
    </row>
    <row r="93" spans="6:53" ht="12.75">
      <c r="F93" s="3"/>
      <c r="X93" s="5"/>
      <c r="Y93" s="5"/>
      <c r="AN93" s="9"/>
      <c r="BA93" s="9"/>
    </row>
    <row r="94" spans="6:53" ht="12.75">
      <c r="F94" s="3"/>
      <c r="X94" s="5"/>
      <c r="Y94" s="5"/>
      <c r="AN94" s="9"/>
      <c r="BA94" s="9"/>
    </row>
    <row r="95" spans="6:53" ht="12.75">
      <c r="F95" s="3"/>
      <c r="X95" s="5"/>
      <c r="Y95" s="5"/>
      <c r="AN95" s="9"/>
      <c r="BA95" s="9"/>
    </row>
    <row r="96" spans="6:53" ht="12.75">
      <c r="F96" s="3"/>
      <c r="X96" s="5"/>
      <c r="Y96" s="5"/>
      <c r="AN96" s="9"/>
      <c r="BA96" s="9"/>
    </row>
    <row r="97" spans="6:53" ht="12.75">
      <c r="F97" s="3"/>
      <c r="X97" s="5"/>
      <c r="Y97" s="5"/>
      <c r="AN97" s="9"/>
      <c r="BA97" s="9"/>
    </row>
    <row r="98" spans="6:53" ht="12.75">
      <c r="F98" s="3"/>
      <c r="X98" s="5"/>
      <c r="Y98" s="5"/>
      <c r="AN98" s="9"/>
      <c r="BA98" s="9"/>
    </row>
    <row r="99" spans="6:53" ht="12.75">
      <c r="F99" s="3"/>
      <c r="X99" s="5"/>
      <c r="Y99" s="5"/>
      <c r="AN99" s="9"/>
      <c r="BA99" s="9"/>
    </row>
    <row r="100" spans="6:53" ht="12.75">
      <c r="F100" s="3"/>
      <c r="X100" s="5"/>
      <c r="Y100" s="5"/>
      <c r="AN100" s="9"/>
      <c r="BA100" s="9"/>
    </row>
    <row r="101" spans="6:53" ht="12.75">
      <c r="F101" s="3"/>
      <c r="X101" s="5"/>
      <c r="Y101" s="5"/>
      <c r="AN101" s="9"/>
      <c r="BA101" s="9"/>
    </row>
    <row r="102" spans="6:53" ht="12.75">
      <c r="F102" s="3"/>
      <c r="X102" s="5"/>
      <c r="Y102" s="5"/>
      <c r="AN102" s="9"/>
      <c r="BA102" s="9"/>
    </row>
    <row r="103" spans="6:53" ht="12.75">
      <c r="F103" s="3"/>
      <c r="X103" s="5"/>
      <c r="Y103" s="5"/>
      <c r="AN103" s="9"/>
      <c r="BA103" s="9"/>
    </row>
    <row r="104" spans="6:53" ht="12.75">
      <c r="F104" s="3"/>
      <c r="X104" s="5"/>
      <c r="Y104" s="5"/>
      <c r="AN104" s="9"/>
      <c r="BA104" s="9"/>
    </row>
    <row r="105" spans="6:53" ht="12.75">
      <c r="F105" s="3"/>
      <c r="X105" s="5"/>
      <c r="Y105" s="5"/>
      <c r="AN105" s="9"/>
      <c r="BA105" s="9"/>
    </row>
    <row r="106" spans="6:53" ht="12.75">
      <c r="F106" s="3"/>
      <c r="X106" s="5"/>
      <c r="Y106" s="5"/>
      <c r="AN106" s="9"/>
      <c r="BA106" s="9"/>
    </row>
    <row r="107" spans="6:53" ht="12.75">
      <c r="F107" s="3"/>
      <c r="X107" s="5"/>
      <c r="Y107" s="5"/>
      <c r="AN107" s="9"/>
      <c r="BA107" s="9"/>
    </row>
    <row r="108" spans="6:53" ht="12.75">
      <c r="F108" s="3"/>
      <c r="X108" s="5"/>
      <c r="Y108" s="5"/>
      <c r="AN108" s="9"/>
      <c r="BA108" s="9"/>
    </row>
    <row r="109" spans="6:53" ht="12.75">
      <c r="F109" s="3"/>
      <c r="X109" s="5"/>
      <c r="Y109" s="5"/>
      <c r="AN109" s="9"/>
      <c r="BA109" s="9"/>
    </row>
    <row r="110" spans="6:53" ht="12.75">
      <c r="F110" s="3"/>
      <c r="X110" s="5"/>
      <c r="Y110" s="5"/>
      <c r="AN110" s="9"/>
      <c r="BA110" s="9"/>
    </row>
    <row r="111" spans="6:53" ht="12.75">
      <c r="F111" s="3"/>
      <c r="X111" s="5"/>
      <c r="Y111" s="5"/>
      <c r="AN111" s="9"/>
      <c r="BA111" s="9"/>
    </row>
    <row r="112" spans="6:53" ht="12.75">
      <c r="F112" s="3"/>
      <c r="X112" s="5"/>
      <c r="Y112" s="5"/>
      <c r="AN112" s="9"/>
      <c r="BA112" s="9"/>
    </row>
    <row r="113" spans="6:53" ht="12.75">
      <c r="F113" s="3"/>
      <c r="X113" s="5"/>
      <c r="Y113" s="5"/>
      <c r="AN113" s="9"/>
      <c r="BA113" s="9"/>
    </row>
    <row r="114" spans="6:53" ht="12.75">
      <c r="F114" s="3"/>
      <c r="X114" s="5"/>
      <c r="Y114" s="5"/>
      <c r="AN114" s="9"/>
      <c r="BA114" s="9"/>
    </row>
    <row r="115" spans="6:53" ht="12.75">
      <c r="F115" s="3"/>
      <c r="X115" s="5"/>
      <c r="Y115" s="5"/>
      <c r="AN115" s="9"/>
      <c r="BA115" s="9"/>
    </row>
    <row r="116" spans="6:53" ht="12.75">
      <c r="F116" s="3"/>
      <c r="X116" s="5"/>
      <c r="Y116" s="5"/>
      <c r="AN116" s="9"/>
      <c r="BA116" s="9"/>
    </row>
    <row r="117" spans="6:53" ht="12.75">
      <c r="F117" s="3"/>
      <c r="X117" s="5"/>
      <c r="Y117" s="5"/>
      <c r="AN117" s="9"/>
      <c r="BA117" s="9"/>
    </row>
    <row r="118" spans="6:53" ht="12.75">
      <c r="F118" s="3"/>
      <c r="X118" s="5"/>
      <c r="Y118" s="5"/>
      <c r="AN118" s="9"/>
      <c r="BA118" s="9"/>
    </row>
    <row r="119" spans="6:53" ht="12.75">
      <c r="F119" s="3"/>
      <c r="X119" s="5"/>
      <c r="Y119" s="5"/>
      <c r="AN119" s="9"/>
      <c r="BA119" s="9"/>
    </row>
    <row r="120" spans="6:53" ht="12.75">
      <c r="F120" s="3"/>
      <c r="X120" s="5"/>
      <c r="Y120" s="5"/>
      <c r="AN120" s="9"/>
      <c r="BA120" s="9"/>
    </row>
    <row r="121" spans="6:53" ht="12.75">
      <c r="F121" s="3"/>
      <c r="X121" s="5"/>
      <c r="Y121" s="5"/>
      <c r="AN121" s="9"/>
      <c r="BA121" s="9"/>
    </row>
    <row r="122" spans="6:53" ht="12.75">
      <c r="F122" s="3"/>
      <c r="X122" s="5"/>
      <c r="Y122" s="5"/>
      <c r="AN122" s="9"/>
      <c r="BA122" s="9"/>
    </row>
    <row r="123" spans="6:63" ht="12.75">
      <c r="F123" s="3"/>
      <c r="X123" s="5"/>
      <c r="Y123" s="5"/>
      <c r="AN123" s="9"/>
      <c r="BA123" s="9"/>
      <c r="BK123" s="9"/>
    </row>
    <row r="124" spans="6:63" ht="12.75">
      <c r="F124" s="3"/>
      <c r="X124" s="5"/>
      <c r="Y124" s="5"/>
      <c r="AN124" s="9"/>
      <c r="BA124" s="9"/>
      <c r="BK124" s="9"/>
    </row>
    <row r="125" spans="6:63" ht="12.75">
      <c r="F125" s="3"/>
      <c r="X125" s="5"/>
      <c r="Y125" s="5"/>
      <c r="AN125" s="9"/>
      <c r="BA125" s="9"/>
      <c r="BK125" s="9"/>
    </row>
    <row r="126" spans="6:63" ht="12.75">
      <c r="F126" s="3"/>
      <c r="X126" s="5"/>
      <c r="Y126" s="5"/>
      <c r="AN126" s="9"/>
      <c r="BA126" s="9"/>
      <c r="BK126" s="9"/>
    </row>
    <row r="127" spans="6:63" ht="12.75">
      <c r="F127" s="3"/>
      <c r="X127" s="5"/>
      <c r="Y127" s="5"/>
      <c r="AN127" s="9"/>
      <c r="BA127" s="9"/>
      <c r="BK127" s="9"/>
    </row>
    <row r="128" spans="6:63" ht="12.75">
      <c r="F128" s="3"/>
      <c r="X128" s="5"/>
      <c r="Y128" s="5"/>
      <c r="AN128" s="9"/>
      <c r="BA128" s="9"/>
      <c r="BK128" s="9"/>
    </row>
    <row r="129" spans="6:63" ht="12.75">
      <c r="F129" s="3"/>
      <c r="AN129" s="9"/>
      <c r="BA129" s="9"/>
      <c r="BK129" s="9"/>
    </row>
    <row r="130" spans="6:63" ht="12.75">
      <c r="F130" s="3"/>
      <c r="AN130" s="9"/>
      <c r="BA130" s="9"/>
      <c r="BK130" s="9"/>
    </row>
    <row r="131" spans="6:63" ht="12.75">
      <c r="F131" s="3"/>
      <c r="AN131" s="9"/>
      <c r="BA131" s="9"/>
      <c r="BK131" s="9"/>
    </row>
    <row r="132" spans="6:63" ht="12.75">
      <c r="F132" s="3"/>
      <c r="AN132" s="9"/>
      <c r="BA132" s="9"/>
      <c r="BK132" s="9"/>
    </row>
    <row r="133" spans="6:63" ht="12.75">
      <c r="F133" s="3"/>
      <c r="AN133" s="9"/>
      <c r="BA133" s="9"/>
      <c r="BK133" s="9"/>
    </row>
    <row r="134" spans="6:63" ht="12.75">
      <c r="F134" s="3"/>
      <c r="AN134" s="9"/>
      <c r="BA134" s="9"/>
      <c r="BK134" s="9"/>
    </row>
    <row r="135" spans="6:63" ht="12.75">
      <c r="F135" s="3"/>
      <c r="AN135" s="9"/>
      <c r="BA135" s="9"/>
      <c r="BK135" s="9"/>
    </row>
    <row r="136" spans="6:63" ht="12.75">
      <c r="F136" s="3"/>
      <c r="AN136" s="9"/>
      <c r="BA136" s="9"/>
      <c r="BK136" s="9"/>
    </row>
    <row r="137" spans="6:63" ht="12.75">
      <c r="F137" s="3"/>
      <c r="AN137" s="9"/>
      <c r="BA137" s="9"/>
      <c r="BK137" s="9"/>
    </row>
    <row r="138" spans="6:63" ht="12.75">
      <c r="F138" s="3"/>
      <c r="AN138" s="9"/>
      <c r="BA138" s="9"/>
      <c r="BK138" s="9"/>
    </row>
    <row r="139" spans="6:63" ht="12.75">
      <c r="F139" s="3"/>
      <c r="AN139" s="9"/>
      <c r="BA139" s="9"/>
      <c r="BK139" s="9"/>
    </row>
    <row r="140" spans="6:63" ht="12.75">
      <c r="F140" s="3"/>
      <c r="AN140" s="9"/>
      <c r="BA140" s="9"/>
      <c r="BK140" s="9"/>
    </row>
    <row r="141" spans="6:63" ht="12.75">
      <c r="F141" s="3"/>
      <c r="AN141" s="9"/>
      <c r="BA141" s="9"/>
      <c r="BK141" s="9"/>
    </row>
    <row r="142" spans="6:63" ht="12.75">
      <c r="F142" s="3"/>
      <c r="AN142" s="9"/>
      <c r="BA142" s="9"/>
      <c r="BK142" s="9"/>
    </row>
    <row r="143" spans="6:63" ht="12.75">
      <c r="F143" s="3"/>
      <c r="BA143" s="9"/>
      <c r="BK143" s="9"/>
    </row>
    <row r="144" spans="6:63" ht="12.75">
      <c r="F144" s="3"/>
      <c r="AN144" s="9"/>
      <c r="BA144" s="9"/>
      <c r="BK144" s="9"/>
    </row>
    <row r="145" spans="6:63" ht="12.75">
      <c r="F145" s="3"/>
      <c r="BA145" s="9"/>
      <c r="BK145" s="9"/>
    </row>
    <row r="146" spans="6:63" ht="12.75">
      <c r="F146" s="3"/>
      <c r="BK146" s="9"/>
    </row>
    <row r="147" spans="6:63" ht="12.75">
      <c r="F147" s="3"/>
      <c r="BK147" s="9"/>
    </row>
    <row r="148" spans="6:63" ht="12.75">
      <c r="F148" s="3"/>
      <c r="BK148" s="9"/>
    </row>
    <row r="149" spans="6:63" ht="12.75">
      <c r="F149" s="3"/>
      <c r="BK149" s="9"/>
    </row>
    <row r="150" spans="6:63" ht="12.75">
      <c r="F150" s="3"/>
      <c r="BK150" s="9"/>
    </row>
    <row r="151" spans="6:63" ht="12.75">
      <c r="F151" s="3"/>
      <c r="BK151" s="9"/>
    </row>
    <row r="152" spans="6:63" ht="12.75">
      <c r="F152" s="3"/>
      <c r="BK152" s="9"/>
    </row>
    <row r="153" spans="6:63" ht="12.75">
      <c r="F153" s="3"/>
      <c r="BK153" s="9"/>
    </row>
    <row r="154" spans="6:63" ht="12.75">
      <c r="F154" s="3"/>
      <c r="BK154" s="9"/>
    </row>
    <row r="155" spans="6:63" ht="12.75">
      <c r="F155" s="3"/>
      <c r="BK155" s="9"/>
    </row>
    <row r="156" spans="6:63" ht="12.75">
      <c r="F156" s="3"/>
      <c r="BK156" s="9"/>
    </row>
    <row r="157" spans="6:63" ht="12.75">
      <c r="F157" s="3"/>
      <c r="BK157" s="9"/>
    </row>
    <row r="158" spans="6:63" ht="12.75">
      <c r="F158" s="3"/>
      <c r="BK158" s="9"/>
    </row>
    <row r="159" spans="6:63" ht="12.75">
      <c r="F159" s="3"/>
      <c r="BK159" s="9"/>
    </row>
    <row r="160" spans="6:63" ht="12.75">
      <c r="F160" s="3"/>
      <c r="BK160" s="9"/>
    </row>
    <row r="161" spans="6:63" ht="12.75">
      <c r="F161" s="3"/>
      <c r="BK161" s="9"/>
    </row>
    <row r="162" spans="6:63" ht="12.75">
      <c r="F162" s="3"/>
      <c r="BK162" s="9"/>
    </row>
    <row r="163" spans="6:63" ht="12.75">
      <c r="F163" s="3"/>
      <c r="BK163" s="9"/>
    </row>
    <row r="164" spans="6:63" ht="12.75">
      <c r="F164" s="3"/>
      <c r="BK164" s="9"/>
    </row>
    <row r="165" spans="6:63" ht="12.75">
      <c r="F165" s="3"/>
      <c r="BK165" s="9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spans="6:28" ht="12.75">
      <c r="F185" s="3"/>
      <c r="AB185" s="7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spans="6:28" ht="12.75">
      <c r="F195" s="3"/>
      <c r="AB195" s="7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spans="6:28" ht="12.75">
      <c r="F211" s="3"/>
      <c r="AB211" s="7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spans="6:32" ht="12.75">
      <c r="F227" s="3"/>
      <c r="AA227" s="7"/>
      <c r="AB227" s="7"/>
      <c r="AF227" s="7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  <row r="563" ht="12.75">
      <c r="F563" s="3"/>
    </row>
    <row r="564" ht="12.75">
      <c r="F564" s="3"/>
    </row>
    <row r="565" ht="12.75">
      <c r="F565" s="3"/>
    </row>
    <row r="566" ht="12.75">
      <c r="F566" s="3"/>
    </row>
    <row r="567" ht="12.75">
      <c r="F567" s="3"/>
    </row>
    <row r="568" ht="12.75">
      <c r="F568" s="3"/>
    </row>
    <row r="569" ht="12.75">
      <c r="F569" s="3"/>
    </row>
    <row r="570" ht="12.75">
      <c r="F570" s="3"/>
    </row>
    <row r="571" ht="12.75">
      <c r="F571" s="3"/>
    </row>
    <row r="572" ht="12.75">
      <c r="F572" s="3"/>
    </row>
    <row r="573" ht="12.75">
      <c r="F573" s="3"/>
    </row>
    <row r="574" ht="12.75">
      <c r="F574" s="3"/>
    </row>
    <row r="575" ht="12.75">
      <c r="F575" s="3"/>
    </row>
    <row r="576" ht="12.75">
      <c r="F576" s="3"/>
    </row>
    <row r="577" ht="12.75">
      <c r="F577" s="3"/>
    </row>
    <row r="578" ht="12.75">
      <c r="F578" s="3"/>
    </row>
    <row r="579" ht="12.75">
      <c r="F579" s="3"/>
    </row>
    <row r="580" ht="12.75">
      <c r="F580" s="3"/>
    </row>
    <row r="581" ht="12.75">
      <c r="F581" s="3"/>
    </row>
    <row r="582" ht="12.75">
      <c r="F582" s="3"/>
    </row>
    <row r="583" ht="12.75">
      <c r="F583" s="3"/>
    </row>
    <row r="584" ht="12.75">
      <c r="F584" s="3"/>
    </row>
    <row r="585" ht="12.75">
      <c r="F585" s="3"/>
    </row>
    <row r="586" ht="12.75">
      <c r="F586" s="3"/>
    </row>
    <row r="587" ht="12.75">
      <c r="F587" s="3"/>
    </row>
    <row r="588" ht="12.75">
      <c r="F588" s="3"/>
    </row>
    <row r="589" ht="12.75">
      <c r="F589" s="3"/>
    </row>
    <row r="590" ht="12.75">
      <c r="F590" s="3"/>
    </row>
    <row r="591" ht="12.75">
      <c r="F591" s="3"/>
    </row>
    <row r="592" ht="12.75">
      <c r="F592" s="3"/>
    </row>
    <row r="593" ht="12.75">
      <c r="F593" s="3"/>
    </row>
    <row r="594" ht="12.75">
      <c r="F594" s="3"/>
    </row>
    <row r="595" ht="12.75">
      <c r="F595" s="3"/>
    </row>
    <row r="596" ht="12.75">
      <c r="F596" s="3"/>
    </row>
    <row r="597" ht="12.75">
      <c r="F597" s="3"/>
    </row>
    <row r="598" ht="12.75">
      <c r="F598" s="3"/>
    </row>
    <row r="599" ht="12.75">
      <c r="F599" s="3"/>
    </row>
    <row r="600" ht="12.75">
      <c r="F600" s="3"/>
    </row>
    <row r="601" ht="12.75">
      <c r="F601" s="3"/>
    </row>
    <row r="602" ht="12.75">
      <c r="F602" s="3"/>
    </row>
    <row r="603" ht="12.75">
      <c r="F603" s="3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ht="12.75">
      <c r="F609" s="3"/>
    </row>
    <row r="610" ht="12.75">
      <c r="F610" s="3"/>
    </row>
    <row r="611" ht="12.75">
      <c r="F611" s="3"/>
    </row>
    <row r="612" ht="12.75">
      <c r="F612" s="3"/>
    </row>
    <row r="613" ht="12.75">
      <c r="F613" s="3"/>
    </row>
    <row r="614" ht="12.75">
      <c r="F614" s="3"/>
    </row>
    <row r="615" ht="12.75">
      <c r="F615" s="3"/>
    </row>
    <row r="616" ht="12.75">
      <c r="F616" s="3"/>
    </row>
    <row r="617" ht="12.75"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ht="12.75">
      <c r="F625" s="3"/>
    </row>
    <row r="626" ht="12.75">
      <c r="F626" s="3"/>
    </row>
    <row r="627" ht="12.75"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ht="12.75">
      <c r="F633" s="3"/>
    </row>
    <row r="634" ht="12.75">
      <c r="F634" s="3"/>
    </row>
    <row r="635" ht="12.75">
      <c r="F635" s="3"/>
    </row>
    <row r="636" ht="12.75">
      <c r="F636" s="3"/>
    </row>
    <row r="637" ht="12.75">
      <c r="F637" s="3"/>
    </row>
    <row r="638" ht="12.75"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ht="12.75">
      <c r="F645" s="3"/>
    </row>
    <row r="646" ht="12.75">
      <c r="F646" s="3"/>
    </row>
    <row r="647" ht="12.75">
      <c r="F647" s="3"/>
    </row>
    <row r="648" ht="12.75">
      <c r="F648" s="3"/>
    </row>
    <row r="649" ht="12.75">
      <c r="F649" s="3"/>
    </row>
    <row r="650" ht="12.75">
      <c r="F650" s="3"/>
    </row>
    <row r="651" ht="12.75">
      <c r="F651" s="3"/>
    </row>
    <row r="652" ht="12.75">
      <c r="F652" s="3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  <row r="688" ht="12.75">
      <c r="F688" s="3"/>
    </row>
    <row r="689" ht="12.75">
      <c r="F689" s="3"/>
    </row>
    <row r="690" ht="12.75">
      <c r="F690" s="3"/>
    </row>
    <row r="691" ht="12.75">
      <c r="F691" s="3"/>
    </row>
    <row r="692" ht="12.75">
      <c r="F692" s="3"/>
    </row>
    <row r="693" ht="12.75">
      <c r="F693" s="3"/>
    </row>
    <row r="694" ht="12.75">
      <c r="F694" s="3"/>
    </row>
    <row r="695" ht="12.75">
      <c r="F695" s="3"/>
    </row>
    <row r="696" ht="12.75">
      <c r="F696" s="3"/>
    </row>
    <row r="697" ht="12.75">
      <c r="F697" s="3"/>
    </row>
    <row r="698" ht="12.75">
      <c r="F698" s="3"/>
    </row>
    <row r="699" ht="12.75">
      <c r="F699" s="3"/>
    </row>
    <row r="700" ht="12.75">
      <c r="F700" s="3"/>
    </row>
    <row r="701" ht="12.75">
      <c r="F701" s="3"/>
    </row>
    <row r="702" ht="12.75">
      <c r="F702" s="3"/>
    </row>
    <row r="703" ht="12.75">
      <c r="F703" s="3"/>
    </row>
    <row r="704" ht="12.75">
      <c r="F704" s="3"/>
    </row>
    <row r="705" ht="12.75">
      <c r="F705" s="3"/>
    </row>
    <row r="706" ht="12.75">
      <c r="F706" s="3"/>
    </row>
    <row r="707" ht="12.75">
      <c r="F707" s="3"/>
    </row>
    <row r="708" ht="12.75">
      <c r="F708" s="3"/>
    </row>
    <row r="709" ht="12.75">
      <c r="F709" s="3"/>
    </row>
    <row r="710" ht="12.75">
      <c r="F710" s="3"/>
    </row>
    <row r="711" ht="12.75">
      <c r="F711" s="3"/>
    </row>
    <row r="712" ht="12.75">
      <c r="F712" s="3"/>
    </row>
    <row r="713" ht="12.75">
      <c r="F713" s="3"/>
    </row>
  </sheetData>
  <mergeCells count="5">
    <mergeCell ref="A3:B3"/>
    <mergeCell ref="A1:B1"/>
    <mergeCell ref="A2:B2"/>
    <mergeCell ref="C1:W1"/>
    <mergeCell ref="C2:W2"/>
  </mergeCells>
  <printOptions/>
  <pageMargins left="0.2" right="0.15" top="0.53" bottom="0.3" header="0.26" footer="0.17"/>
  <pageSetup firstPageNumber="8" useFirstPageNumber="1" horizontalDpi="600" verticalDpi="600" orientation="portrait" paperSize="5" scale="80" r:id="rId1"/>
  <headerFooter alignWithMargins="0">
    <oddHeader>&amp;RCircular 1063</oddHeader>
    <oddFooter>&amp;L&amp;F,&amp;A, Prepared by Division of Education Finance&amp;R&amp;D, Page &amp;P</oddFooter>
  </headerFooter>
  <colBreaks count="1" manualBreakCount="1">
    <brk id="6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3">
      <selection activeCell="H17" sqref="H17"/>
    </sheetView>
  </sheetViews>
  <sheetFormatPr defaultColWidth="9.140625" defaultRowHeight="12.75"/>
  <cols>
    <col min="1" max="1" width="14.421875" style="0" bestFit="1" customWidth="1"/>
    <col min="2" max="2" width="12.28125" style="0" customWidth="1"/>
    <col min="3" max="3" width="11.7109375" style="0" customWidth="1"/>
    <col min="4" max="4" width="10.7109375" style="0" bestFit="1" customWidth="1"/>
    <col min="5" max="5" width="13.140625" style="0" customWidth="1"/>
    <col min="6" max="6" width="13.421875" style="0" bestFit="1" customWidth="1"/>
    <col min="7" max="7" width="13.421875" style="0" customWidth="1"/>
    <col min="8" max="8" width="11.421875" style="0" customWidth="1"/>
    <col min="9" max="9" width="10.7109375" style="0" bestFit="1" customWidth="1"/>
    <col min="10" max="10" width="11.00390625" style="0" customWidth="1"/>
  </cols>
  <sheetData>
    <row r="1" ht="25.5">
      <c r="A1" s="489"/>
    </row>
    <row r="2" spans="1:10" ht="51" customHeight="1">
      <c r="A2" s="588" t="s">
        <v>504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0" ht="45" customHeight="1">
      <c r="A3" s="589" t="s">
        <v>678</v>
      </c>
      <c r="B3" s="589"/>
      <c r="C3" s="589"/>
      <c r="D3" s="589"/>
      <c r="E3" s="589"/>
      <c r="F3" s="589"/>
      <c r="G3" s="589"/>
      <c r="H3" s="589"/>
      <c r="I3" s="589"/>
      <c r="J3" s="589"/>
    </row>
    <row r="4" spans="1:10" ht="14.25">
      <c r="A4" s="494"/>
      <c r="B4" s="487"/>
      <c r="C4" s="476"/>
      <c r="D4" s="476"/>
      <c r="E4" s="478" t="s">
        <v>161</v>
      </c>
      <c r="F4" s="479" t="s">
        <v>676</v>
      </c>
      <c r="G4" s="539"/>
      <c r="H4" s="476"/>
      <c r="I4" s="477"/>
      <c r="J4" s="477"/>
    </row>
    <row r="5" spans="1:10" ht="89.25">
      <c r="A5" s="495"/>
      <c r="B5" s="486" t="s">
        <v>537</v>
      </c>
      <c r="C5" s="484" t="s">
        <v>658</v>
      </c>
      <c r="D5" s="483" t="s">
        <v>308</v>
      </c>
      <c r="E5" s="485" t="s">
        <v>682</v>
      </c>
      <c r="F5" s="485" t="s">
        <v>655</v>
      </c>
      <c r="G5" s="485" t="s">
        <v>686</v>
      </c>
      <c r="H5" s="484" t="s">
        <v>513</v>
      </c>
      <c r="I5" s="484" t="s">
        <v>514</v>
      </c>
      <c r="J5" s="475" t="s">
        <v>515</v>
      </c>
    </row>
    <row r="6" spans="1:10" ht="15" customHeight="1">
      <c r="A6" s="495"/>
      <c r="B6" s="488"/>
      <c r="C6" s="345"/>
      <c r="D6" s="345"/>
      <c r="E6" s="394">
        <v>3025</v>
      </c>
      <c r="F6" s="344">
        <v>25</v>
      </c>
      <c r="G6" s="394"/>
      <c r="H6" s="345"/>
      <c r="I6" s="345"/>
      <c r="J6" s="345"/>
    </row>
    <row r="7" spans="1:10" ht="14.25">
      <c r="A7" s="496"/>
      <c r="B7" s="308" t="s">
        <v>309</v>
      </c>
      <c r="C7" s="308" t="s">
        <v>647</v>
      </c>
      <c r="D7" s="308" t="s">
        <v>310</v>
      </c>
      <c r="E7" s="308" t="s">
        <v>516</v>
      </c>
      <c r="F7" s="308" t="s">
        <v>535</v>
      </c>
      <c r="G7" s="308" t="s">
        <v>687</v>
      </c>
      <c r="H7" s="308" t="s">
        <v>656</v>
      </c>
      <c r="I7" s="308" t="s">
        <v>688</v>
      </c>
      <c r="J7" s="308" t="s">
        <v>657</v>
      </c>
    </row>
    <row r="8" spans="1:10" ht="12.75">
      <c r="A8" s="54" t="s">
        <v>681</v>
      </c>
      <c r="B8" s="481"/>
      <c r="C8" s="481"/>
      <c r="D8" s="481"/>
      <c r="E8" s="481"/>
      <c r="F8" s="481"/>
      <c r="G8" s="481"/>
      <c r="H8" s="481"/>
      <c r="I8" s="481"/>
      <c r="J8" s="481"/>
    </row>
    <row r="9" spans="1:10" ht="12.75">
      <c r="A9" s="347" t="s">
        <v>680</v>
      </c>
      <c r="B9" s="493">
        <f>818</f>
        <v>818</v>
      </c>
      <c r="C9" s="490">
        <f>'Table 3 Distribution W Adj'!F76</f>
        <v>3109.906542053476</v>
      </c>
      <c r="D9" s="490">
        <f>B9*C9</f>
        <v>2543903.5513997437</v>
      </c>
      <c r="E9" s="490">
        <f>0*E6</f>
        <v>0</v>
      </c>
      <c r="F9" s="490">
        <f>816*25</f>
        <v>20400</v>
      </c>
      <c r="G9" s="490">
        <f>D9+E9+F9</f>
        <v>2564303.5513997437</v>
      </c>
      <c r="H9" s="482">
        <v>1686960</v>
      </c>
      <c r="I9" s="490">
        <f>G9-H9</f>
        <v>877343.5513997437</v>
      </c>
      <c r="J9" s="490">
        <f>I9/4</f>
        <v>219335.8878499359</v>
      </c>
    </row>
    <row r="10" spans="1:10" ht="20.25" customHeight="1">
      <c r="A10" s="59" t="s">
        <v>679</v>
      </c>
      <c r="B10" s="480"/>
      <c r="C10" s="491"/>
      <c r="D10" s="491"/>
      <c r="E10" s="491"/>
      <c r="F10" s="491"/>
      <c r="G10" s="491"/>
      <c r="H10" s="492"/>
      <c r="I10" s="491"/>
      <c r="J10" s="491"/>
    </row>
    <row r="11" spans="1:10" ht="12.75">
      <c r="A11" s="393" t="s">
        <v>680</v>
      </c>
      <c r="B11" s="480">
        <f>498</f>
        <v>498</v>
      </c>
      <c r="C11" s="490">
        <f>'Table 3 Distribution W Adj'!F76</f>
        <v>3109.906542053476</v>
      </c>
      <c r="D11" s="99">
        <f>B11*C11</f>
        <v>1548733.457942631</v>
      </c>
      <c r="E11" s="490">
        <f>-35*E6</f>
        <v>-105875</v>
      </c>
      <c r="F11" s="490">
        <f>557*25</f>
        <v>13925</v>
      </c>
      <c r="G11" s="490">
        <f>D11+E11+F11</f>
        <v>1456783.457942631</v>
      </c>
      <c r="H11" s="482">
        <v>1211472</v>
      </c>
      <c r="I11" s="490">
        <f>G11-H11</f>
        <v>245311.4579426311</v>
      </c>
      <c r="J11" s="490">
        <f>I11/4</f>
        <v>61327.864485657774</v>
      </c>
    </row>
    <row r="12" spans="1:10" s="17" customFormat="1" ht="25.5" customHeight="1" thickBot="1">
      <c r="A12" s="283" t="s">
        <v>311</v>
      </c>
      <c r="B12" s="284">
        <f>SUM(B9:B11)</f>
        <v>1316</v>
      </c>
      <c r="C12" s="307"/>
      <c r="D12" s="288">
        <f aca="true" t="shared" si="0" ref="D12:J12">SUM(D9:D11)</f>
        <v>4092637.0093423747</v>
      </c>
      <c r="E12" s="288">
        <f t="shared" si="0"/>
        <v>-105875</v>
      </c>
      <c r="F12" s="288">
        <f>SUM(F9:F11)</f>
        <v>34325</v>
      </c>
      <c r="G12" s="288">
        <f>SUM(G9:G11)</f>
        <v>4021087.0093423747</v>
      </c>
      <c r="H12" s="288">
        <f t="shared" si="0"/>
        <v>2898432</v>
      </c>
      <c r="I12" s="288">
        <f t="shared" si="0"/>
        <v>1122655.0093423747</v>
      </c>
      <c r="J12" s="288">
        <f t="shared" si="0"/>
        <v>280663.7523355937</v>
      </c>
    </row>
    <row r="13" spans="2:10" ht="39" customHeight="1" thickTop="1">
      <c r="B13" s="587" t="s">
        <v>442</v>
      </c>
      <c r="C13" s="587"/>
      <c r="D13" s="587"/>
      <c r="E13" s="587"/>
      <c r="F13" s="587"/>
      <c r="G13" s="587"/>
      <c r="H13" s="587"/>
      <c r="I13" s="587"/>
      <c r="J13" s="587"/>
    </row>
    <row r="15" ht="14.25">
      <c r="B15" s="343" t="s">
        <v>691</v>
      </c>
    </row>
    <row r="16" ht="12.75">
      <c r="B16" t="s">
        <v>536</v>
      </c>
    </row>
    <row r="18" ht="14.25">
      <c r="B18" s="343" t="s">
        <v>648</v>
      </c>
    </row>
    <row r="19" ht="12.75">
      <c r="B19" s="3" t="s">
        <v>683</v>
      </c>
    </row>
    <row r="21" ht="14.25">
      <c r="B21" s="343" t="s">
        <v>690</v>
      </c>
    </row>
    <row r="22" ht="12.75">
      <c r="B22" t="s">
        <v>654</v>
      </c>
    </row>
  </sheetData>
  <mergeCells count="3">
    <mergeCell ref="B13:J13"/>
    <mergeCell ref="A2:J2"/>
    <mergeCell ref="A3:J3"/>
  </mergeCells>
  <printOptions/>
  <pageMargins left="0.09" right="0.08" top="0.5" bottom="0.5" header="0.25" footer="0.25"/>
  <pageSetup firstPageNumber="14" useFirstPageNumber="1" horizontalDpi="600" verticalDpi="600" orientation="portrait" paperSize="5" scale="85" r:id="rId1"/>
  <headerFooter alignWithMargins="0">
    <oddHeader>&amp;RCircular 1063, Revised Table 5
</oddHeader>
    <oddFooter>&amp;L&amp;F, &amp;A, Prepared by Division of Education Finance&amp;R&amp;D,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I75"/>
  <sheetViews>
    <sheetView workbookViewId="0" topLeftCell="A1">
      <selection activeCell="F2" sqref="F2"/>
    </sheetView>
  </sheetViews>
  <sheetFormatPr defaultColWidth="9.140625" defaultRowHeight="12.75"/>
  <cols>
    <col min="1" max="1" width="2.140625" style="0" customWidth="1"/>
    <col min="2" max="2" width="5.00390625" style="0" customWidth="1"/>
    <col min="3" max="3" width="20.57421875" style="0" bestFit="1" customWidth="1"/>
    <col min="4" max="4" width="14.57421875" style="0" customWidth="1"/>
    <col min="5" max="5" width="17.00390625" style="0" customWidth="1"/>
    <col min="6" max="6" width="11.140625" style="0" customWidth="1"/>
    <col min="7" max="7" width="16.28125" style="0" customWidth="1"/>
    <col min="8" max="8" width="12.57421875" style="0" customWidth="1"/>
    <col min="9" max="9" width="19.421875" style="0" customWidth="1"/>
    <col min="10" max="10" width="10.00390625" style="0" customWidth="1"/>
    <col min="11" max="11" width="16.8515625" style="0" customWidth="1"/>
    <col min="12" max="12" width="11.140625" style="0" customWidth="1"/>
    <col min="13" max="13" width="13.28125" style="0" customWidth="1"/>
    <col min="14" max="14" width="8.140625" style="0" bestFit="1" customWidth="1"/>
    <col min="15" max="15" width="11.421875" style="0" bestFit="1" customWidth="1"/>
    <col min="16" max="16" width="16.140625" style="0" bestFit="1" customWidth="1"/>
    <col min="17" max="17" width="10.421875" style="0" bestFit="1" customWidth="1"/>
    <col min="18" max="18" width="12.57421875" style="0" customWidth="1"/>
    <col min="19" max="19" width="14.28125" style="0" bestFit="1" customWidth="1"/>
    <col min="20" max="20" width="8.28125" style="0" customWidth="1"/>
    <col min="21" max="21" width="14.8515625" style="0" customWidth="1"/>
    <col min="22" max="22" width="8.7109375" style="0" customWidth="1"/>
    <col min="23" max="23" width="17.7109375" style="0" bestFit="1" customWidth="1"/>
    <col min="24" max="24" width="11.421875" style="0" customWidth="1"/>
    <col min="25" max="25" width="15.00390625" style="0" customWidth="1"/>
    <col min="26" max="26" width="11.140625" style="0" customWidth="1"/>
    <col min="27" max="27" width="1.57421875" style="0" hidden="1" customWidth="1"/>
    <col min="28" max="28" width="27.8515625" style="0" customWidth="1"/>
    <col min="29" max="29" width="25.28125" style="0" customWidth="1"/>
    <col min="30" max="30" width="24.421875" style="0" customWidth="1"/>
    <col min="31" max="31" width="11.28125" style="0" customWidth="1"/>
    <col min="32" max="32" width="14.57421875" style="0" customWidth="1"/>
    <col min="33" max="33" width="9.8515625" style="0" customWidth="1"/>
    <col min="34" max="34" width="13.421875" style="0" customWidth="1"/>
    <col min="35" max="36" width="8.8515625" style="0" bestFit="1" customWidth="1"/>
    <col min="37" max="37" width="7.8515625" style="0" customWidth="1"/>
    <col min="38" max="38" width="13.28125" style="0" customWidth="1"/>
    <col min="39" max="39" width="12.7109375" style="0" customWidth="1"/>
    <col min="41" max="41" width="13.421875" style="0" customWidth="1"/>
    <col min="45" max="45" width="14.57421875" style="0" customWidth="1"/>
    <col min="46" max="46" width="13.57421875" style="0" customWidth="1"/>
    <col min="47" max="47" width="13.00390625" style="0" customWidth="1"/>
    <col min="48" max="48" width="14.7109375" style="0" customWidth="1"/>
    <col min="49" max="49" width="15.28125" style="0" customWidth="1"/>
    <col min="50" max="50" width="15.140625" style="0" customWidth="1"/>
    <col min="51" max="51" width="12.8515625" style="0" customWidth="1"/>
    <col min="52" max="52" width="13.7109375" style="0" customWidth="1"/>
    <col min="53" max="53" width="13.57421875" style="0" customWidth="1"/>
    <col min="54" max="54" width="11.00390625" style="0" customWidth="1"/>
    <col min="55" max="55" width="14.8515625" style="0" customWidth="1"/>
    <col min="56" max="56" width="15.00390625" style="0" customWidth="1"/>
    <col min="57" max="57" width="14.28125" style="0" bestFit="1" customWidth="1"/>
    <col min="58" max="58" width="15.57421875" style="0" customWidth="1"/>
    <col min="59" max="60" width="8.140625" style="0" customWidth="1"/>
    <col min="61" max="61" width="31.7109375" style="0" customWidth="1"/>
    <col min="62" max="62" width="16.421875" style="0" customWidth="1"/>
    <col min="63" max="63" width="11.8515625" style="0" customWidth="1"/>
    <col min="64" max="64" width="13.7109375" style="0" customWidth="1"/>
    <col min="66" max="66" width="12.7109375" style="0" customWidth="1"/>
    <col min="67" max="67" width="11.8515625" style="0" customWidth="1"/>
    <col min="68" max="68" width="18.28125" style="0" customWidth="1"/>
    <col min="70" max="70" width="13.140625" style="0" customWidth="1"/>
    <col min="73" max="73" width="15.57421875" style="0" customWidth="1"/>
    <col min="76" max="76" width="15.28125" style="0" customWidth="1"/>
    <col min="78" max="78" width="13.57421875" style="0" customWidth="1"/>
    <col min="80" max="80" width="13.8515625" style="0" customWidth="1"/>
    <col min="82" max="82" width="14.28125" style="0" customWidth="1"/>
  </cols>
  <sheetData>
    <row r="1" spans="3:61" ht="46.5" customHeight="1">
      <c r="C1" s="180"/>
      <c r="D1" s="598" t="s">
        <v>381</v>
      </c>
      <c r="E1" s="599"/>
      <c r="F1" s="599"/>
      <c r="G1" s="599"/>
      <c r="H1" s="599"/>
      <c r="I1" s="599"/>
      <c r="K1" s="309" t="s">
        <v>443</v>
      </c>
      <c r="L1" s="186"/>
      <c r="M1" s="186"/>
      <c r="N1" s="186"/>
      <c r="S1" s="309" t="s">
        <v>444</v>
      </c>
      <c r="T1" s="3"/>
      <c r="U1" s="3"/>
      <c r="V1" s="3"/>
      <c r="W1" s="309"/>
      <c r="X1" s="309"/>
      <c r="Y1" s="600"/>
      <c r="Z1" s="600"/>
      <c r="AB1" s="375" t="s">
        <v>639</v>
      </c>
      <c r="AC1" s="187"/>
      <c r="AD1" s="187"/>
      <c r="AF1" s="305" t="s">
        <v>445</v>
      </c>
      <c r="AG1" s="3"/>
      <c r="AH1" s="3"/>
      <c r="AI1" s="3"/>
      <c r="AJ1" s="3"/>
      <c r="AK1" s="3"/>
      <c r="AL1" s="3"/>
      <c r="AM1" s="3"/>
      <c r="AO1" s="305" t="s">
        <v>445</v>
      </c>
      <c r="AP1" s="3"/>
      <c r="AQ1" s="3"/>
      <c r="AR1" s="3"/>
      <c r="AS1" s="3"/>
      <c r="AT1" s="3"/>
      <c r="AV1" s="305" t="s">
        <v>445</v>
      </c>
      <c r="AW1" s="3"/>
      <c r="AX1" s="3"/>
      <c r="AY1" s="3"/>
      <c r="AZ1" s="3"/>
      <c r="BA1" s="3"/>
      <c r="BC1" s="305" t="s">
        <v>445</v>
      </c>
      <c r="BD1" s="3"/>
      <c r="BE1" s="3"/>
      <c r="BF1" s="3"/>
      <c r="BG1" s="3"/>
      <c r="BH1" s="3"/>
      <c r="BI1" s="305" t="s">
        <v>445</v>
      </c>
    </row>
    <row r="2" spans="2:61" ht="20.25">
      <c r="B2" s="376"/>
      <c r="C2" s="37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00"/>
      <c r="Z2" s="600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2:61" ht="38.25">
      <c r="B3" s="376"/>
      <c r="D3" s="13" t="s">
        <v>534</v>
      </c>
      <c r="E3" s="47" t="s">
        <v>538</v>
      </c>
      <c r="F3" s="13" t="s">
        <v>446</v>
      </c>
      <c r="G3" s="47" t="s">
        <v>447</v>
      </c>
      <c r="H3" s="13" t="s">
        <v>448</v>
      </c>
      <c r="I3" s="603" t="s">
        <v>692</v>
      </c>
      <c r="J3" s="47" t="s">
        <v>449</v>
      </c>
      <c r="K3" s="47" t="s">
        <v>450</v>
      </c>
      <c r="L3" s="47" t="s">
        <v>451</v>
      </c>
      <c r="M3" s="47" t="s">
        <v>452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 t="s">
        <v>81</v>
      </c>
      <c r="AC3" s="3" t="s">
        <v>81</v>
      </c>
      <c r="AD3" s="13" t="s">
        <v>460</v>
      </c>
      <c r="AE3" s="47" t="s">
        <v>461</v>
      </c>
      <c r="AF3" s="47" t="s">
        <v>461</v>
      </c>
      <c r="AG3" s="47" t="s">
        <v>462</v>
      </c>
      <c r="AH3" s="47" t="s">
        <v>463</v>
      </c>
      <c r="AI3" s="47" t="s">
        <v>464</v>
      </c>
      <c r="AJ3" s="47" t="s">
        <v>469</v>
      </c>
      <c r="AK3" s="47" t="s">
        <v>470</v>
      </c>
      <c r="AL3" s="47" t="s">
        <v>471</v>
      </c>
      <c r="AM3" s="47" t="s">
        <v>472</v>
      </c>
      <c r="AN3" s="47" t="s">
        <v>473</v>
      </c>
      <c r="AO3" s="47" t="s">
        <v>474</v>
      </c>
      <c r="AP3" s="47" t="s">
        <v>475</v>
      </c>
      <c r="AQ3" s="47" t="s">
        <v>476</v>
      </c>
      <c r="AR3" s="47" t="s">
        <v>477</v>
      </c>
      <c r="AS3" s="47" t="s">
        <v>478</v>
      </c>
      <c r="AT3" s="47" t="s">
        <v>479</v>
      </c>
      <c r="AU3" s="47" t="s">
        <v>480</v>
      </c>
      <c r="AV3" s="47" t="s">
        <v>481</v>
      </c>
      <c r="AW3" s="47" t="s">
        <v>482</v>
      </c>
      <c r="AX3" s="47" t="s">
        <v>483</v>
      </c>
      <c r="AY3" s="47" t="s">
        <v>484</v>
      </c>
      <c r="AZ3" s="47" t="s">
        <v>485</v>
      </c>
      <c r="BA3" s="47" t="s">
        <v>489</v>
      </c>
      <c r="BB3" s="47" t="s">
        <v>490</v>
      </c>
      <c r="BC3" s="47" t="s">
        <v>491</v>
      </c>
      <c r="BD3" s="47" t="s">
        <v>492</v>
      </c>
      <c r="BE3" s="47" t="s">
        <v>493</v>
      </c>
      <c r="BF3" s="47" t="s">
        <v>494</v>
      </c>
      <c r="BG3" s="47" t="s">
        <v>495</v>
      </c>
      <c r="BH3" s="47" t="s">
        <v>496</v>
      </c>
      <c r="BI3" s="47" t="s">
        <v>544</v>
      </c>
    </row>
    <row r="4" spans="3:61" ht="27.75" customHeight="1">
      <c r="C4" s="310"/>
      <c r="D4" s="311"/>
      <c r="E4" s="590" t="s">
        <v>82</v>
      </c>
      <c r="F4" s="591"/>
      <c r="G4" s="591"/>
      <c r="H4" s="592"/>
      <c r="I4" s="604"/>
      <c r="J4" s="13"/>
      <c r="K4" s="13"/>
      <c r="L4" s="13"/>
      <c r="M4" s="13"/>
      <c r="N4" s="13"/>
      <c r="O4" s="13" t="s">
        <v>539</v>
      </c>
      <c r="P4" s="13" t="s">
        <v>540</v>
      </c>
      <c r="Q4" s="13" t="s">
        <v>453</v>
      </c>
      <c r="R4" s="13" t="s">
        <v>541</v>
      </c>
      <c r="S4" s="13" t="s">
        <v>542</v>
      </c>
      <c r="T4" s="47" t="s">
        <v>454</v>
      </c>
      <c r="U4" s="13" t="s">
        <v>543</v>
      </c>
      <c r="V4" s="47" t="s">
        <v>455</v>
      </c>
      <c r="W4" s="47" t="s">
        <v>456</v>
      </c>
      <c r="X4" s="47" t="s">
        <v>458</v>
      </c>
      <c r="Y4" s="47" t="s">
        <v>459</v>
      </c>
      <c r="Z4" s="13" t="s">
        <v>267</v>
      </c>
      <c r="AB4" s="595" t="s">
        <v>646</v>
      </c>
      <c r="AC4" s="596"/>
      <c r="AD4" s="597"/>
      <c r="AE4" s="605" t="s">
        <v>255</v>
      </c>
      <c r="AF4" s="606"/>
      <c r="AG4" s="590" t="s">
        <v>256</v>
      </c>
      <c r="AH4" s="591"/>
      <c r="AI4" s="591"/>
      <c r="AJ4" s="591"/>
      <c r="AK4" s="591"/>
      <c r="AL4" s="592"/>
      <c r="AM4" s="607" t="s">
        <v>110</v>
      </c>
      <c r="AN4" s="590" t="s">
        <v>83</v>
      </c>
      <c r="AO4" s="591"/>
      <c r="AP4" s="591"/>
      <c r="AQ4" s="591"/>
      <c r="AR4" s="591"/>
      <c r="AS4" s="592"/>
      <c r="AT4" s="607" t="s">
        <v>109</v>
      </c>
      <c r="AU4" s="590" t="s">
        <v>260</v>
      </c>
      <c r="AV4" s="591"/>
      <c r="AW4" s="591"/>
      <c r="AX4" s="591"/>
      <c r="AY4" s="591"/>
      <c r="AZ4" s="591"/>
      <c r="BA4" s="592"/>
      <c r="BB4" s="609" t="s">
        <v>111</v>
      </c>
      <c r="BC4" s="610"/>
      <c r="BD4" s="610"/>
      <c r="BE4" s="611"/>
      <c r="BF4" s="593" t="s">
        <v>116</v>
      </c>
      <c r="BG4" s="612" t="s">
        <v>117</v>
      </c>
      <c r="BH4" s="612" t="s">
        <v>118</v>
      </c>
      <c r="BI4" s="601" t="s">
        <v>351</v>
      </c>
    </row>
    <row r="5" spans="2:61" ht="63.75">
      <c r="B5" s="281" t="s">
        <v>383</v>
      </c>
      <c r="C5" s="281" t="s">
        <v>130</v>
      </c>
      <c r="D5" s="313" t="s">
        <v>380</v>
      </c>
      <c r="E5" s="313" t="s">
        <v>119</v>
      </c>
      <c r="F5" s="313" t="s">
        <v>84</v>
      </c>
      <c r="G5" s="313" t="s">
        <v>120</v>
      </c>
      <c r="H5" s="313" t="s">
        <v>84</v>
      </c>
      <c r="I5" s="313" t="s">
        <v>121</v>
      </c>
      <c r="J5" s="313" t="s">
        <v>84</v>
      </c>
      <c r="K5" s="313" t="s">
        <v>122</v>
      </c>
      <c r="L5" s="313" t="s">
        <v>84</v>
      </c>
      <c r="M5" s="312" t="s">
        <v>261</v>
      </c>
      <c r="N5" s="313" t="s">
        <v>262</v>
      </c>
      <c r="O5" s="313" t="s">
        <v>457</v>
      </c>
      <c r="P5" s="313" t="s">
        <v>123</v>
      </c>
      <c r="Q5" s="313" t="s">
        <v>84</v>
      </c>
      <c r="R5" s="313" t="s">
        <v>124</v>
      </c>
      <c r="S5" s="313" t="s">
        <v>125</v>
      </c>
      <c r="T5" s="313" t="s">
        <v>84</v>
      </c>
      <c r="U5" s="312" t="s">
        <v>121</v>
      </c>
      <c r="V5" s="313" t="s">
        <v>84</v>
      </c>
      <c r="W5" s="314" t="s">
        <v>264</v>
      </c>
      <c r="X5" s="282" t="s">
        <v>84</v>
      </c>
      <c r="Y5" s="282" t="s">
        <v>126</v>
      </c>
      <c r="Z5" s="297" t="s">
        <v>85</v>
      </c>
      <c r="AA5" s="297"/>
      <c r="AB5" s="326" t="s">
        <v>97</v>
      </c>
      <c r="AC5" s="326" t="s">
        <v>98</v>
      </c>
      <c r="AD5" s="282" t="s">
        <v>99</v>
      </c>
      <c r="AE5" s="326" t="s">
        <v>100</v>
      </c>
      <c r="AF5" s="326" t="s">
        <v>101</v>
      </c>
      <c r="AG5" s="326" t="s">
        <v>100</v>
      </c>
      <c r="AH5" s="326" t="s">
        <v>101</v>
      </c>
      <c r="AI5" s="326" t="s">
        <v>465</v>
      </c>
      <c r="AJ5" s="326" t="s">
        <v>466</v>
      </c>
      <c r="AK5" s="282" t="s">
        <v>467</v>
      </c>
      <c r="AL5" s="326" t="s">
        <v>468</v>
      </c>
      <c r="AM5" s="608"/>
      <c r="AN5" s="326" t="s">
        <v>100</v>
      </c>
      <c r="AO5" s="326" t="s">
        <v>101</v>
      </c>
      <c r="AP5" s="326" t="s">
        <v>102</v>
      </c>
      <c r="AQ5" s="326" t="s">
        <v>103</v>
      </c>
      <c r="AR5" s="282" t="s">
        <v>104</v>
      </c>
      <c r="AS5" s="326" t="s">
        <v>105</v>
      </c>
      <c r="AT5" s="608"/>
      <c r="AU5" s="282" t="s">
        <v>684</v>
      </c>
      <c r="AV5" s="282" t="s">
        <v>106</v>
      </c>
      <c r="AW5" s="282" t="s">
        <v>107</v>
      </c>
      <c r="AX5" s="316" t="s">
        <v>108</v>
      </c>
      <c r="AY5" s="282" t="s">
        <v>486</v>
      </c>
      <c r="AZ5" s="282" t="s">
        <v>487</v>
      </c>
      <c r="BA5" s="282" t="s">
        <v>488</v>
      </c>
      <c r="BB5" s="327" t="s">
        <v>112</v>
      </c>
      <c r="BC5" s="328" t="s">
        <v>113</v>
      </c>
      <c r="BD5" s="328" t="s">
        <v>114</v>
      </c>
      <c r="BE5" s="315" t="s">
        <v>115</v>
      </c>
      <c r="BF5" s="594"/>
      <c r="BG5" s="613"/>
      <c r="BH5" s="613"/>
      <c r="BI5" s="602"/>
    </row>
    <row r="6" spans="2:61" ht="12.75">
      <c r="B6" s="49"/>
      <c r="C6" s="49"/>
      <c r="D6" s="298" t="s">
        <v>162</v>
      </c>
      <c r="E6" s="298" t="s">
        <v>497</v>
      </c>
      <c r="F6" s="264" t="s">
        <v>87</v>
      </c>
      <c r="G6" s="298" t="s">
        <v>163</v>
      </c>
      <c r="H6" s="264" t="s">
        <v>88</v>
      </c>
      <c r="I6" s="298" t="s">
        <v>89</v>
      </c>
      <c r="J6" s="264" t="s">
        <v>90</v>
      </c>
      <c r="K6" s="298" t="s">
        <v>164</v>
      </c>
      <c r="L6" s="298" t="s">
        <v>165</v>
      </c>
      <c r="M6" s="298" t="s">
        <v>166</v>
      </c>
      <c r="N6" s="264" t="s">
        <v>91</v>
      </c>
      <c r="O6" s="298" t="s">
        <v>167</v>
      </c>
      <c r="P6" s="298" t="s">
        <v>92</v>
      </c>
      <c r="Q6" s="264" t="s">
        <v>93</v>
      </c>
      <c r="R6" s="298" t="s">
        <v>168</v>
      </c>
      <c r="S6" s="298" t="s">
        <v>94</v>
      </c>
      <c r="T6" s="264" t="s">
        <v>265</v>
      </c>
      <c r="U6" s="298" t="s">
        <v>169</v>
      </c>
      <c r="V6" s="264" t="s">
        <v>263</v>
      </c>
      <c r="W6" s="298" t="s">
        <v>170</v>
      </c>
      <c r="X6" s="298" t="s">
        <v>266</v>
      </c>
      <c r="Y6" s="298" t="s">
        <v>171</v>
      </c>
      <c r="Z6" s="264" t="s">
        <v>95</v>
      </c>
      <c r="AA6" s="264"/>
      <c r="AB6" s="298" t="s">
        <v>162</v>
      </c>
      <c r="AC6" s="298" t="s">
        <v>497</v>
      </c>
      <c r="AD6" s="298" t="s">
        <v>163</v>
      </c>
      <c r="AE6" s="298" t="s">
        <v>164</v>
      </c>
      <c r="AF6" s="298" t="s">
        <v>165</v>
      </c>
      <c r="AG6" s="298" t="s">
        <v>166</v>
      </c>
      <c r="AH6" s="298" t="s">
        <v>167</v>
      </c>
      <c r="AI6" s="298" t="s">
        <v>168</v>
      </c>
      <c r="AJ6" s="298" t="s">
        <v>169</v>
      </c>
      <c r="AK6" s="298" t="s">
        <v>170</v>
      </c>
      <c r="AL6" s="298" t="s">
        <v>171</v>
      </c>
      <c r="AM6" s="298" t="s">
        <v>172</v>
      </c>
      <c r="AN6" s="298" t="s">
        <v>251</v>
      </c>
      <c r="AO6" s="298" t="s">
        <v>422</v>
      </c>
      <c r="AP6" s="298" t="s">
        <v>423</v>
      </c>
      <c r="AQ6" s="298" t="s">
        <v>252</v>
      </c>
      <c r="AR6" s="299" t="s">
        <v>424</v>
      </c>
      <c r="AS6" s="298" t="s">
        <v>425</v>
      </c>
      <c r="AT6" s="298" t="s">
        <v>426</v>
      </c>
      <c r="AU6" s="298" t="s">
        <v>427</v>
      </c>
      <c r="AV6" s="298" t="s">
        <v>428</v>
      </c>
      <c r="AW6" s="298" t="s">
        <v>429</v>
      </c>
      <c r="AX6" s="298" t="s">
        <v>430</v>
      </c>
      <c r="AY6" s="298" t="s">
        <v>257</v>
      </c>
      <c r="AZ6" s="298" t="s">
        <v>258</v>
      </c>
      <c r="BA6" s="298" t="s">
        <v>259</v>
      </c>
      <c r="BB6" s="298" t="s">
        <v>431</v>
      </c>
      <c r="BC6" s="298" t="s">
        <v>432</v>
      </c>
      <c r="BD6" s="298" t="s">
        <v>433</v>
      </c>
      <c r="BE6" s="298" t="s">
        <v>434</v>
      </c>
      <c r="BF6" s="298" t="s">
        <v>435</v>
      </c>
      <c r="BG6" s="298" t="s">
        <v>436</v>
      </c>
      <c r="BH6" s="298" t="s">
        <v>437</v>
      </c>
      <c r="BI6" s="298" t="s">
        <v>353</v>
      </c>
    </row>
    <row r="7" spans="2:61" ht="12.75">
      <c r="B7" s="51"/>
      <c r="C7" s="52"/>
      <c r="D7" s="56"/>
      <c r="E7" s="56"/>
      <c r="F7" s="56"/>
      <c r="G7" s="56"/>
      <c r="H7" s="56"/>
      <c r="I7" s="56"/>
      <c r="J7" s="56"/>
      <c r="K7" s="56"/>
      <c r="L7" s="56"/>
      <c r="M7" s="59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188"/>
      <c r="AG7" s="56"/>
      <c r="AH7" s="188"/>
      <c r="AI7" s="56"/>
      <c r="AJ7" s="56"/>
      <c r="AK7" s="56"/>
      <c r="AL7" s="188"/>
      <c r="AM7" s="56"/>
      <c r="AN7" s="56"/>
      <c r="AO7" s="188"/>
      <c r="AP7" s="56"/>
      <c r="AQ7" s="56"/>
      <c r="AR7" s="56"/>
      <c r="AS7" s="188"/>
      <c r="AT7" s="56"/>
      <c r="AU7" s="56"/>
      <c r="AV7" s="56"/>
      <c r="AW7" s="56"/>
      <c r="AX7" s="56"/>
      <c r="AY7" s="56"/>
      <c r="AZ7" s="56"/>
      <c r="BA7" s="56"/>
      <c r="BB7" s="56"/>
      <c r="BC7" s="191"/>
      <c r="BD7" s="74"/>
      <c r="BE7" s="56"/>
      <c r="BF7" s="56"/>
      <c r="BG7" s="56"/>
      <c r="BH7" s="56"/>
      <c r="BI7" s="56"/>
    </row>
    <row r="8" spans="2:61" ht="12.75">
      <c r="B8" s="60">
        <v>1</v>
      </c>
      <c r="C8" s="61" t="s">
        <v>3</v>
      </c>
      <c r="D8" s="61">
        <f>'Table 4 Formula'!U8</f>
        <v>13612</v>
      </c>
      <c r="E8" s="62">
        <f aca="true" t="shared" si="0" ref="E8:E39">ROUND(BA$75*AD8/1000,0)</f>
        <v>5574294</v>
      </c>
      <c r="F8" s="62">
        <f>ROUND(E8/D8,2)</f>
        <v>409.51</v>
      </c>
      <c r="G8" s="62">
        <f aca="true" t="shared" si="1" ref="G8:G39">ROUND(BB$75*BF8,0)</f>
        <v>8081275</v>
      </c>
      <c r="H8" s="62">
        <f>ROUND(G8/D8,2)</f>
        <v>593.69</v>
      </c>
      <c r="I8" s="62">
        <v>415490</v>
      </c>
      <c r="J8" s="62">
        <f>ROUND(I8/D8,2)</f>
        <v>30.52</v>
      </c>
      <c r="K8" s="62">
        <f>I8+G8+E8</f>
        <v>14071059</v>
      </c>
      <c r="L8" s="62">
        <f>ROUND(K8/D8,2)</f>
        <v>1033.72</v>
      </c>
      <c r="M8" s="76">
        <f aca="true" t="shared" si="2" ref="M8:M39">ROUND(L8/L$75,8)</f>
        <v>0.59876507</v>
      </c>
      <c r="N8" s="61">
        <f aca="true" t="shared" si="3" ref="N8:N39">RANK(M8,M$8:M$73,0)</f>
        <v>49</v>
      </c>
      <c r="O8" s="75">
        <f aca="true" t="shared" si="4" ref="O8:O39">BA8</f>
        <v>33.089</v>
      </c>
      <c r="P8" s="62">
        <f aca="true" t="shared" si="5" ref="P8:P39">AX8</f>
        <v>4486755</v>
      </c>
      <c r="Q8" s="62">
        <f>ROUND(P8/D8,2)</f>
        <v>329.62</v>
      </c>
      <c r="R8" s="66">
        <f aca="true" t="shared" si="6" ref="R8:R39">BB8</f>
        <v>0.01</v>
      </c>
      <c r="S8" s="62">
        <f aca="true" t="shared" si="7" ref="S8:S39">BE8</f>
        <v>4489597</v>
      </c>
      <c r="T8" s="62">
        <f>S8/D8</f>
        <v>329.8264031736703</v>
      </c>
      <c r="U8" s="62">
        <f>I8</f>
        <v>415490</v>
      </c>
      <c r="V8" s="62">
        <f>ROUND(U8/D8,2)</f>
        <v>30.52</v>
      </c>
      <c r="W8" s="62">
        <f>P8+S8+U8</f>
        <v>9391842</v>
      </c>
      <c r="X8" s="62">
        <f>ROUND(W8/D8,2)</f>
        <v>689.97</v>
      </c>
      <c r="Y8" s="64">
        <f>ROUND(X8/L8,6)</f>
        <v>0.667463</v>
      </c>
      <c r="Z8" s="61">
        <f aca="true" t="shared" si="8" ref="Z8:Z39">RANK(Y8,Y$8:Y$73,0)</f>
        <v>57</v>
      </c>
      <c r="AA8" s="61"/>
      <c r="AB8" s="62">
        <v>185313980</v>
      </c>
      <c r="AC8" s="62">
        <v>49719390</v>
      </c>
      <c r="AD8" s="62">
        <f>AB8-AC8</f>
        <v>135594590</v>
      </c>
      <c r="AE8" s="102">
        <v>5.13</v>
      </c>
      <c r="AF8" s="62">
        <v>660039</v>
      </c>
      <c r="AG8" s="75">
        <v>20</v>
      </c>
      <c r="AH8" s="62">
        <v>2573829</v>
      </c>
      <c r="AI8" s="102">
        <v>0</v>
      </c>
      <c r="AJ8" s="102">
        <v>12.29</v>
      </c>
      <c r="AK8" s="61">
        <v>1</v>
      </c>
      <c r="AL8" s="62">
        <v>115269</v>
      </c>
      <c r="AM8" s="62">
        <f>AF8+AH8+AL8</f>
        <v>3349137</v>
      </c>
      <c r="AN8" s="102">
        <v>0</v>
      </c>
      <c r="AO8" s="62">
        <v>0</v>
      </c>
      <c r="AP8" s="102">
        <v>0</v>
      </c>
      <c r="AQ8" s="102">
        <v>37</v>
      </c>
      <c r="AR8" s="61">
        <v>5</v>
      </c>
      <c r="AS8" s="62">
        <v>1137618</v>
      </c>
      <c r="AT8" s="62">
        <f>AO8+AS8</f>
        <v>1137618</v>
      </c>
      <c r="AU8" s="102">
        <f>AE8+AG8+AN8</f>
        <v>25.13</v>
      </c>
      <c r="AV8" s="62">
        <f>AF8+AH8+AO8</f>
        <v>3233868</v>
      </c>
      <c r="AW8" s="62">
        <f>AL8+AS8</f>
        <v>1252887</v>
      </c>
      <c r="AX8" s="62">
        <f>AT8+AM8</f>
        <v>4486755</v>
      </c>
      <c r="AY8" s="380">
        <f>ROUND((AT8/AD8)*1000,3)</f>
        <v>8.39</v>
      </c>
      <c r="AZ8" s="380">
        <f>ROUND((AM8/AD8)*1000,3)</f>
        <v>24.7</v>
      </c>
      <c r="BA8" s="380">
        <f>ROUND((AX8/AD8)*1000,3)</f>
        <v>33.089</v>
      </c>
      <c r="BB8" s="66">
        <v>0.01</v>
      </c>
      <c r="BC8" s="62">
        <v>4489597</v>
      </c>
      <c r="BD8" s="62">
        <v>0</v>
      </c>
      <c r="BE8" s="62">
        <f>SUM(BC8+BD8)</f>
        <v>4489597</v>
      </c>
      <c r="BF8" s="62">
        <f>ROUND(BE8/BB8,0)</f>
        <v>448959700</v>
      </c>
      <c r="BG8" s="66">
        <f>ROUND(BC8/BF8,4)</f>
        <v>0.01</v>
      </c>
      <c r="BH8" s="66">
        <f>ROUND(BD8/BF8,4)</f>
        <v>0</v>
      </c>
      <c r="BI8" s="62">
        <f>AM8+AT8+BC8+BD8+I8</f>
        <v>9391842</v>
      </c>
    </row>
    <row r="9" spans="2:61" ht="12.75">
      <c r="B9" s="60">
        <v>2</v>
      </c>
      <c r="C9" s="61" t="s">
        <v>4</v>
      </c>
      <c r="D9" s="61">
        <f>'Table 4 Formula'!U9</f>
        <v>5864</v>
      </c>
      <c r="E9" s="62">
        <f t="shared" si="0"/>
        <v>2299636</v>
      </c>
      <c r="F9" s="62">
        <f aca="true" t="shared" si="9" ref="F9:F72">ROUND(E9/D9,2)</f>
        <v>392.16</v>
      </c>
      <c r="G9" s="62">
        <f t="shared" si="1"/>
        <v>3122848</v>
      </c>
      <c r="H9" s="62">
        <f aca="true" t="shared" si="10" ref="H9:H72">ROUND(G9/D9,2)</f>
        <v>532.55</v>
      </c>
      <c r="I9" s="62">
        <v>130830.5</v>
      </c>
      <c r="J9" s="62">
        <f aca="true" t="shared" si="11" ref="J9:J72">ROUND(I9/D9,2)</f>
        <v>22.31</v>
      </c>
      <c r="K9" s="62">
        <f aca="true" t="shared" si="12" ref="K9:K72">I9+G9+E9</f>
        <v>5553314.5</v>
      </c>
      <c r="L9" s="62">
        <f aca="true" t="shared" si="13" ref="L9:L72">ROUND(K9/D9,2)</f>
        <v>947.02</v>
      </c>
      <c r="M9" s="76">
        <f t="shared" si="2"/>
        <v>0.54854555</v>
      </c>
      <c r="N9" s="61">
        <f t="shared" si="3"/>
        <v>52</v>
      </c>
      <c r="O9" s="75">
        <f t="shared" si="4"/>
        <v>50.802</v>
      </c>
      <c r="P9" s="62">
        <f t="shared" si="5"/>
        <v>2841779</v>
      </c>
      <c r="Q9" s="62">
        <f aca="true" t="shared" si="14" ref="Q9:Q72">ROUND(P9/D9,2)</f>
        <v>484.61</v>
      </c>
      <c r="R9" s="66">
        <f t="shared" si="6"/>
        <v>0.02</v>
      </c>
      <c r="S9" s="62">
        <f t="shared" si="7"/>
        <v>3469831</v>
      </c>
      <c r="T9" s="62">
        <f aca="true" t="shared" si="15" ref="T9:T72">S9/D9</f>
        <v>591.7174283765348</v>
      </c>
      <c r="U9" s="62">
        <f aca="true" t="shared" si="16" ref="U9:U72">I9</f>
        <v>130830.5</v>
      </c>
      <c r="V9" s="62">
        <f aca="true" t="shared" si="17" ref="V9:V72">ROUND(U9/D9,2)</f>
        <v>22.31</v>
      </c>
      <c r="W9" s="62">
        <f aca="true" t="shared" si="18" ref="W9:W72">P9+S9+U9</f>
        <v>6442440.5</v>
      </c>
      <c r="X9" s="62">
        <f aca="true" t="shared" si="19" ref="X9:X72">ROUND(W9/D9,2)</f>
        <v>1098.64</v>
      </c>
      <c r="Y9" s="64">
        <f aca="true" t="shared" si="20" ref="Y9:Y72">ROUND(X9/L9,6)</f>
        <v>1.160102</v>
      </c>
      <c r="Z9" s="61">
        <f t="shared" si="8"/>
        <v>12</v>
      </c>
      <c r="AA9" s="61"/>
      <c r="AB9" s="62">
        <v>75437196</v>
      </c>
      <c r="AC9" s="62">
        <v>19498581</v>
      </c>
      <c r="AD9" s="62">
        <f aca="true" t="shared" si="21" ref="AD9:AD72">AB9-AC9</f>
        <v>55938615</v>
      </c>
      <c r="AE9" s="102">
        <v>4.26</v>
      </c>
      <c r="AF9" s="62">
        <v>235051</v>
      </c>
      <c r="AG9" s="75">
        <v>5.13</v>
      </c>
      <c r="AH9" s="62">
        <v>283064</v>
      </c>
      <c r="AI9" s="102">
        <v>12.37</v>
      </c>
      <c r="AJ9" s="102">
        <v>68.22</v>
      </c>
      <c r="AK9" s="61">
        <v>6</v>
      </c>
      <c r="AL9" s="62">
        <v>994861</v>
      </c>
      <c r="AM9" s="62">
        <f aca="true" t="shared" si="22" ref="AM9:AM72">AF9+AH9+AL9</f>
        <v>1512976</v>
      </c>
      <c r="AN9" s="102">
        <v>0</v>
      </c>
      <c r="AO9" s="62">
        <v>0</v>
      </c>
      <c r="AP9" s="102">
        <v>10.2</v>
      </c>
      <c r="AQ9" s="102">
        <v>40.8</v>
      </c>
      <c r="AR9" s="61">
        <v>6</v>
      </c>
      <c r="AS9" s="62">
        <v>1328803</v>
      </c>
      <c r="AT9" s="62">
        <f aca="true" t="shared" si="23" ref="AT9:AT72">AO9+AS9</f>
        <v>1328803</v>
      </c>
      <c r="AU9" s="102">
        <f aca="true" t="shared" si="24" ref="AU9:AV72">AE9+AG9+AN9</f>
        <v>9.39</v>
      </c>
      <c r="AV9" s="62">
        <f t="shared" si="24"/>
        <v>518115</v>
      </c>
      <c r="AW9" s="62">
        <f aca="true" t="shared" si="25" ref="AW9:AW72">AL9+AS9</f>
        <v>2323664</v>
      </c>
      <c r="AX9" s="62">
        <f aca="true" t="shared" si="26" ref="AX9:AX72">AT9+AM9</f>
        <v>2841779</v>
      </c>
      <c r="AY9" s="380">
        <f aca="true" t="shared" si="27" ref="AY9:AY72">ROUND((AT9/AD9)*1000,3)</f>
        <v>23.755</v>
      </c>
      <c r="AZ9" s="380">
        <f aca="true" t="shared" si="28" ref="AZ9:AZ72">ROUND((AM9/AD9)*1000,3)</f>
        <v>27.047</v>
      </c>
      <c r="BA9" s="380">
        <f aca="true" t="shared" si="29" ref="BA9:BA72">ROUND((AX9/AD9)*1000,3)</f>
        <v>50.802</v>
      </c>
      <c r="BB9" s="66">
        <v>0.02</v>
      </c>
      <c r="BC9" s="62">
        <v>3469831</v>
      </c>
      <c r="BD9" s="62">
        <v>0</v>
      </c>
      <c r="BE9" s="62">
        <f aca="true" t="shared" si="30" ref="BE9:BE72">SUM(BC9+BD9)</f>
        <v>3469831</v>
      </c>
      <c r="BF9" s="62">
        <f aca="true" t="shared" si="31" ref="BF9:BF72">ROUND(BE9/BB9,0)</f>
        <v>173491550</v>
      </c>
      <c r="BG9" s="66">
        <f aca="true" t="shared" si="32" ref="BG9:BG72">ROUND(BC9/BF9,4)</f>
        <v>0.02</v>
      </c>
      <c r="BH9" s="66">
        <f aca="true" t="shared" si="33" ref="BH9:BH72">ROUND(BD9/BF9,4)</f>
        <v>0</v>
      </c>
      <c r="BI9" s="62">
        <f aca="true" t="shared" si="34" ref="BI9:BI72">AM9+AT9+BC9+BD9+I9</f>
        <v>6442440.5</v>
      </c>
    </row>
    <row r="10" spans="2:61" ht="12.75">
      <c r="B10" s="60">
        <v>3</v>
      </c>
      <c r="C10" s="61" t="s">
        <v>5</v>
      </c>
      <c r="D10" s="61">
        <f>'Table 4 Formula'!U10</f>
        <v>19520</v>
      </c>
      <c r="E10" s="62">
        <f t="shared" si="0"/>
        <v>14887331</v>
      </c>
      <c r="F10" s="62">
        <f t="shared" si="9"/>
        <v>762.67</v>
      </c>
      <c r="G10" s="62">
        <f t="shared" si="1"/>
        <v>27536337</v>
      </c>
      <c r="H10" s="62">
        <f t="shared" si="10"/>
        <v>1410.67</v>
      </c>
      <c r="I10" s="62">
        <v>202335.5</v>
      </c>
      <c r="J10" s="62">
        <f t="shared" si="11"/>
        <v>10.37</v>
      </c>
      <c r="K10" s="62">
        <f t="shared" si="12"/>
        <v>42626003.5</v>
      </c>
      <c r="L10" s="62">
        <f t="shared" si="13"/>
        <v>2183.71</v>
      </c>
      <c r="M10" s="76">
        <f t="shared" si="2"/>
        <v>1.26487761</v>
      </c>
      <c r="N10" s="61">
        <f t="shared" si="3"/>
        <v>11</v>
      </c>
      <c r="O10" s="75">
        <f t="shared" si="4"/>
        <v>53.168</v>
      </c>
      <c r="P10" s="62">
        <f t="shared" si="5"/>
        <v>19253803</v>
      </c>
      <c r="Q10" s="62">
        <f t="shared" si="14"/>
        <v>986.36</v>
      </c>
      <c r="R10" s="66">
        <f t="shared" si="6"/>
        <v>0.02</v>
      </c>
      <c r="S10" s="62">
        <f t="shared" si="7"/>
        <v>30595930</v>
      </c>
      <c r="T10" s="62">
        <f t="shared" si="15"/>
        <v>1567.4144467213114</v>
      </c>
      <c r="U10" s="62">
        <f t="shared" si="16"/>
        <v>202335.5</v>
      </c>
      <c r="V10" s="62">
        <f t="shared" si="17"/>
        <v>10.37</v>
      </c>
      <c r="W10" s="62">
        <f t="shared" si="18"/>
        <v>50052068.5</v>
      </c>
      <c r="X10" s="62">
        <f t="shared" si="19"/>
        <v>2564.14</v>
      </c>
      <c r="Y10" s="64">
        <f t="shared" si="20"/>
        <v>1.174213</v>
      </c>
      <c r="Z10" s="61">
        <f t="shared" si="8"/>
        <v>11</v>
      </c>
      <c r="AA10" s="61"/>
      <c r="AB10" s="62">
        <v>460324060</v>
      </c>
      <c r="AC10" s="62">
        <v>98190000</v>
      </c>
      <c r="AD10" s="62">
        <f t="shared" si="21"/>
        <v>362134060</v>
      </c>
      <c r="AE10" s="102">
        <v>3.61</v>
      </c>
      <c r="AF10" s="62">
        <v>1336899</v>
      </c>
      <c r="AG10" s="75">
        <v>34.15</v>
      </c>
      <c r="AH10" s="62">
        <v>12442043</v>
      </c>
      <c r="AI10" s="102">
        <v>0</v>
      </c>
      <c r="AJ10" s="102">
        <v>0</v>
      </c>
      <c r="AK10" s="61">
        <v>0</v>
      </c>
      <c r="AL10" s="62">
        <v>0</v>
      </c>
      <c r="AM10" s="62">
        <f t="shared" si="22"/>
        <v>13778942</v>
      </c>
      <c r="AN10" s="102">
        <v>15.08</v>
      </c>
      <c r="AO10" s="62">
        <v>5474861</v>
      </c>
      <c r="AP10" s="102">
        <v>0</v>
      </c>
      <c r="AQ10" s="102">
        <v>0</v>
      </c>
      <c r="AR10" s="61">
        <v>0</v>
      </c>
      <c r="AS10" s="62">
        <v>0</v>
      </c>
      <c r="AT10" s="62">
        <f t="shared" si="23"/>
        <v>5474861</v>
      </c>
      <c r="AU10" s="102">
        <f t="shared" si="24"/>
        <v>52.839999999999996</v>
      </c>
      <c r="AV10" s="62">
        <f t="shared" si="24"/>
        <v>19253803</v>
      </c>
      <c r="AW10" s="62">
        <f t="shared" si="25"/>
        <v>0</v>
      </c>
      <c r="AX10" s="62">
        <f t="shared" si="26"/>
        <v>19253803</v>
      </c>
      <c r="AY10" s="380">
        <f t="shared" si="27"/>
        <v>15.118</v>
      </c>
      <c r="AZ10" s="380">
        <f t="shared" si="28"/>
        <v>38.049</v>
      </c>
      <c r="BA10" s="380">
        <f t="shared" si="29"/>
        <v>53.168</v>
      </c>
      <c r="BB10" s="66">
        <v>0.02</v>
      </c>
      <c r="BC10" s="62">
        <v>30595930</v>
      </c>
      <c r="BD10" s="62">
        <v>0</v>
      </c>
      <c r="BE10" s="62">
        <f t="shared" si="30"/>
        <v>30595930</v>
      </c>
      <c r="BF10" s="62">
        <f t="shared" si="31"/>
        <v>1529796500</v>
      </c>
      <c r="BG10" s="66">
        <f t="shared" si="32"/>
        <v>0.02</v>
      </c>
      <c r="BH10" s="66">
        <f t="shared" si="33"/>
        <v>0</v>
      </c>
      <c r="BI10" s="62">
        <f t="shared" si="34"/>
        <v>50052068.5</v>
      </c>
    </row>
    <row r="11" spans="2:61" ht="12.75">
      <c r="B11" s="60">
        <v>4</v>
      </c>
      <c r="C11" s="61" t="s">
        <v>6</v>
      </c>
      <c r="D11" s="61">
        <f>'Table 4 Formula'!U11</f>
        <v>6258</v>
      </c>
      <c r="E11" s="62">
        <f t="shared" si="0"/>
        <v>2532655</v>
      </c>
      <c r="F11" s="62">
        <f t="shared" si="9"/>
        <v>404.71</v>
      </c>
      <c r="G11" s="62">
        <f t="shared" si="1"/>
        <v>3070454</v>
      </c>
      <c r="H11" s="62">
        <f t="shared" si="10"/>
        <v>490.64</v>
      </c>
      <c r="I11" s="62">
        <v>169717</v>
      </c>
      <c r="J11" s="62">
        <f t="shared" si="11"/>
        <v>27.12</v>
      </c>
      <c r="K11" s="62">
        <f t="shared" si="12"/>
        <v>5772826</v>
      </c>
      <c r="L11" s="62">
        <f t="shared" si="13"/>
        <v>922.47</v>
      </c>
      <c r="M11" s="76">
        <f t="shared" si="2"/>
        <v>0.53432537</v>
      </c>
      <c r="N11" s="61">
        <f t="shared" si="3"/>
        <v>54</v>
      </c>
      <c r="O11" s="75">
        <f t="shared" si="4"/>
        <v>44.475</v>
      </c>
      <c r="P11" s="62">
        <f t="shared" si="5"/>
        <v>2739977</v>
      </c>
      <c r="Q11" s="62">
        <f t="shared" si="14"/>
        <v>437.84</v>
      </c>
      <c r="R11" s="66">
        <f t="shared" si="6"/>
        <v>0.025</v>
      </c>
      <c r="S11" s="62">
        <f t="shared" si="7"/>
        <v>4264520</v>
      </c>
      <c r="T11" s="62">
        <f t="shared" si="15"/>
        <v>681.4509427932247</v>
      </c>
      <c r="U11" s="62">
        <f t="shared" si="16"/>
        <v>169717</v>
      </c>
      <c r="V11" s="62">
        <f t="shared" si="17"/>
        <v>27.12</v>
      </c>
      <c r="W11" s="62">
        <f t="shared" si="18"/>
        <v>7174214</v>
      </c>
      <c r="X11" s="62">
        <f t="shared" si="19"/>
        <v>1146.41</v>
      </c>
      <c r="Y11" s="64">
        <f t="shared" si="20"/>
        <v>1.242761</v>
      </c>
      <c r="Z11" s="61">
        <f t="shared" si="8"/>
        <v>7</v>
      </c>
      <c r="AA11" s="61"/>
      <c r="AB11" s="62">
        <v>84546130</v>
      </c>
      <c r="AC11" s="62">
        <v>22939332</v>
      </c>
      <c r="AD11" s="62">
        <f t="shared" si="21"/>
        <v>61606798</v>
      </c>
      <c r="AE11" s="102">
        <v>5.21</v>
      </c>
      <c r="AF11" s="62">
        <v>322752</v>
      </c>
      <c r="AG11" s="75">
        <v>34.02</v>
      </c>
      <c r="AH11" s="62">
        <v>2107493</v>
      </c>
      <c r="AI11" s="102">
        <v>0</v>
      </c>
      <c r="AJ11" s="102">
        <v>0</v>
      </c>
      <c r="AK11" s="61">
        <v>0</v>
      </c>
      <c r="AL11" s="62">
        <v>0</v>
      </c>
      <c r="AM11" s="62">
        <f t="shared" si="22"/>
        <v>2430245</v>
      </c>
      <c r="AN11" s="102">
        <v>5</v>
      </c>
      <c r="AO11" s="62">
        <v>309732</v>
      </c>
      <c r="AP11" s="102">
        <v>0</v>
      </c>
      <c r="AQ11" s="102">
        <v>0</v>
      </c>
      <c r="AR11" s="61">
        <v>0</v>
      </c>
      <c r="AS11" s="62">
        <v>0</v>
      </c>
      <c r="AT11" s="62">
        <f t="shared" si="23"/>
        <v>309732</v>
      </c>
      <c r="AU11" s="102">
        <f t="shared" si="24"/>
        <v>44.230000000000004</v>
      </c>
      <c r="AV11" s="62">
        <f t="shared" si="24"/>
        <v>2739977</v>
      </c>
      <c r="AW11" s="62">
        <f t="shared" si="25"/>
        <v>0</v>
      </c>
      <c r="AX11" s="62">
        <f t="shared" si="26"/>
        <v>2739977</v>
      </c>
      <c r="AY11" s="380">
        <f t="shared" si="27"/>
        <v>5.028</v>
      </c>
      <c r="AZ11" s="380">
        <f t="shared" si="28"/>
        <v>39.448</v>
      </c>
      <c r="BA11" s="380">
        <f t="shared" si="29"/>
        <v>44.475</v>
      </c>
      <c r="BB11" s="66">
        <v>0.025</v>
      </c>
      <c r="BC11" s="62">
        <v>3411630</v>
      </c>
      <c r="BD11" s="62">
        <v>852890</v>
      </c>
      <c r="BE11" s="62">
        <f t="shared" si="30"/>
        <v>4264520</v>
      </c>
      <c r="BF11" s="62">
        <f t="shared" si="31"/>
        <v>170580800</v>
      </c>
      <c r="BG11" s="66">
        <f t="shared" si="32"/>
        <v>0.02</v>
      </c>
      <c r="BH11" s="66">
        <f t="shared" si="33"/>
        <v>0.005</v>
      </c>
      <c r="BI11" s="62">
        <f t="shared" si="34"/>
        <v>7174214</v>
      </c>
    </row>
    <row r="12" spans="2:61" ht="12.75">
      <c r="B12" s="83">
        <v>5</v>
      </c>
      <c r="C12" s="84" t="s">
        <v>7</v>
      </c>
      <c r="D12" s="84">
        <f>'Table 4 Formula'!U12</f>
        <v>9179</v>
      </c>
      <c r="E12" s="85">
        <f t="shared" si="0"/>
        <v>2577803</v>
      </c>
      <c r="F12" s="85">
        <f t="shared" si="9"/>
        <v>280.84</v>
      </c>
      <c r="G12" s="85">
        <f t="shared" si="1"/>
        <v>5372893</v>
      </c>
      <c r="H12" s="85">
        <f t="shared" si="10"/>
        <v>585.35</v>
      </c>
      <c r="I12" s="85">
        <v>296490</v>
      </c>
      <c r="J12" s="85">
        <f t="shared" si="11"/>
        <v>32.3</v>
      </c>
      <c r="K12" s="85">
        <f t="shared" si="12"/>
        <v>8247186</v>
      </c>
      <c r="L12" s="85">
        <f t="shared" si="13"/>
        <v>898.48</v>
      </c>
      <c r="M12" s="94">
        <f t="shared" si="2"/>
        <v>0.52042956</v>
      </c>
      <c r="N12" s="84">
        <f t="shared" si="3"/>
        <v>57</v>
      </c>
      <c r="O12" s="93">
        <f t="shared" si="4"/>
        <v>25.766</v>
      </c>
      <c r="P12" s="85">
        <f t="shared" si="5"/>
        <v>1615645</v>
      </c>
      <c r="Q12" s="85">
        <f t="shared" si="14"/>
        <v>176.02</v>
      </c>
      <c r="R12" s="90">
        <f t="shared" si="6"/>
        <v>0.015</v>
      </c>
      <c r="S12" s="85">
        <f t="shared" si="7"/>
        <v>4477411</v>
      </c>
      <c r="T12" s="85">
        <f t="shared" si="15"/>
        <v>487.7885390565421</v>
      </c>
      <c r="U12" s="85">
        <f t="shared" si="16"/>
        <v>296490</v>
      </c>
      <c r="V12" s="85">
        <f t="shared" si="17"/>
        <v>32.3</v>
      </c>
      <c r="W12" s="85">
        <f t="shared" si="18"/>
        <v>6389546</v>
      </c>
      <c r="X12" s="85">
        <f t="shared" si="19"/>
        <v>696.1</v>
      </c>
      <c r="Y12" s="88">
        <f t="shared" si="20"/>
        <v>0.774753</v>
      </c>
      <c r="Z12" s="84">
        <f t="shared" si="8"/>
        <v>51</v>
      </c>
      <c r="AA12" s="84"/>
      <c r="AB12" s="85">
        <v>103269660</v>
      </c>
      <c r="AC12" s="85">
        <v>40564640</v>
      </c>
      <c r="AD12" s="85">
        <f t="shared" si="21"/>
        <v>62705020</v>
      </c>
      <c r="AE12" s="103">
        <v>3.46</v>
      </c>
      <c r="AF12" s="85">
        <v>203717</v>
      </c>
      <c r="AG12" s="93">
        <v>5</v>
      </c>
      <c r="AH12" s="85">
        <v>664993</v>
      </c>
      <c r="AI12" s="103">
        <v>0</v>
      </c>
      <c r="AJ12" s="103">
        <v>0</v>
      </c>
      <c r="AK12" s="84">
        <v>0</v>
      </c>
      <c r="AL12" s="85">
        <v>0</v>
      </c>
      <c r="AM12" s="85">
        <f t="shared" si="22"/>
        <v>868710</v>
      </c>
      <c r="AN12" s="103">
        <v>5</v>
      </c>
      <c r="AO12" s="85">
        <v>0</v>
      </c>
      <c r="AP12" s="103">
        <v>7</v>
      </c>
      <c r="AQ12" s="103">
        <v>25</v>
      </c>
      <c r="AR12" s="84">
        <v>9</v>
      </c>
      <c r="AS12" s="85">
        <v>746935</v>
      </c>
      <c r="AT12" s="85">
        <f t="shared" si="23"/>
        <v>746935</v>
      </c>
      <c r="AU12" s="103">
        <f t="shared" si="24"/>
        <v>13.46</v>
      </c>
      <c r="AV12" s="85">
        <f t="shared" si="24"/>
        <v>868710</v>
      </c>
      <c r="AW12" s="85">
        <f t="shared" si="25"/>
        <v>746935</v>
      </c>
      <c r="AX12" s="85">
        <f t="shared" si="26"/>
        <v>1615645</v>
      </c>
      <c r="AY12" s="381">
        <f t="shared" si="27"/>
        <v>11.912</v>
      </c>
      <c r="AZ12" s="381">
        <f t="shared" si="28"/>
        <v>13.854</v>
      </c>
      <c r="BA12" s="381">
        <f t="shared" si="29"/>
        <v>25.766</v>
      </c>
      <c r="BB12" s="90">
        <v>0.015</v>
      </c>
      <c r="BC12" s="85">
        <v>4101163</v>
      </c>
      <c r="BD12" s="85">
        <v>376248</v>
      </c>
      <c r="BE12" s="85">
        <f t="shared" si="30"/>
        <v>4477411</v>
      </c>
      <c r="BF12" s="85">
        <f t="shared" si="31"/>
        <v>298494067</v>
      </c>
      <c r="BG12" s="90">
        <f t="shared" si="32"/>
        <v>0.0137</v>
      </c>
      <c r="BH12" s="90">
        <f t="shared" si="33"/>
        <v>0.0013</v>
      </c>
      <c r="BI12" s="85">
        <f t="shared" si="34"/>
        <v>6389546</v>
      </c>
    </row>
    <row r="13" spans="2:61" ht="12.75">
      <c r="B13" s="60">
        <v>6</v>
      </c>
      <c r="C13" s="61" t="s">
        <v>8</v>
      </c>
      <c r="D13" s="61">
        <f>'Table 4 Formula'!U13</f>
        <v>8019</v>
      </c>
      <c r="E13" s="62">
        <f t="shared" si="0"/>
        <v>4818081</v>
      </c>
      <c r="F13" s="62">
        <f t="shared" si="9"/>
        <v>600.83</v>
      </c>
      <c r="G13" s="62">
        <f t="shared" si="1"/>
        <v>5916511</v>
      </c>
      <c r="H13" s="62">
        <f t="shared" si="10"/>
        <v>737.81</v>
      </c>
      <c r="I13" s="62">
        <v>276610</v>
      </c>
      <c r="J13" s="62">
        <f t="shared" si="11"/>
        <v>34.49</v>
      </c>
      <c r="K13" s="62">
        <f t="shared" si="12"/>
        <v>11011202</v>
      </c>
      <c r="L13" s="62">
        <f t="shared" si="13"/>
        <v>1373.14</v>
      </c>
      <c r="M13" s="76">
        <f t="shared" si="2"/>
        <v>0.79536845</v>
      </c>
      <c r="N13" s="61">
        <f t="shared" si="3"/>
        <v>29</v>
      </c>
      <c r="O13" s="75">
        <f t="shared" si="4"/>
        <v>48.319</v>
      </c>
      <c r="P13" s="62">
        <f t="shared" si="5"/>
        <v>5662982</v>
      </c>
      <c r="Q13" s="62">
        <f t="shared" si="14"/>
        <v>706.2</v>
      </c>
      <c r="R13" s="66">
        <f t="shared" si="6"/>
        <v>0.02</v>
      </c>
      <c r="S13" s="62">
        <f t="shared" si="7"/>
        <v>6573901</v>
      </c>
      <c r="T13" s="62">
        <f t="shared" si="15"/>
        <v>819.7906222721037</v>
      </c>
      <c r="U13" s="62">
        <f t="shared" si="16"/>
        <v>276610</v>
      </c>
      <c r="V13" s="62">
        <f t="shared" si="17"/>
        <v>34.49</v>
      </c>
      <c r="W13" s="62">
        <f t="shared" si="18"/>
        <v>12513493</v>
      </c>
      <c r="X13" s="62">
        <f t="shared" si="19"/>
        <v>1560.48</v>
      </c>
      <c r="Y13" s="64">
        <f t="shared" si="20"/>
        <v>1.136432</v>
      </c>
      <c r="Z13" s="61">
        <f t="shared" si="8"/>
        <v>13</v>
      </c>
      <c r="AA13" s="61"/>
      <c r="AB13" s="62">
        <v>149655094</v>
      </c>
      <c r="AC13" s="62">
        <v>32455371</v>
      </c>
      <c r="AD13" s="62">
        <f t="shared" si="21"/>
        <v>117199723</v>
      </c>
      <c r="AE13" s="102">
        <v>4.23</v>
      </c>
      <c r="AF13" s="62">
        <v>492788</v>
      </c>
      <c r="AG13" s="75">
        <v>26.58</v>
      </c>
      <c r="AH13" s="62">
        <v>3096526</v>
      </c>
      <c r="AI13" s="102">
        <v>0</v>
      </c>
      <c r="AJ13" s="102">
        <v>0</v>
      </c>
      <c r="AK13" s="61">
        <v>0</v>
      </c>
      <c r="AL13" s="62">
        <v>0</v>
      </c>
      <c r="AM13" s="62">
        <f t="shared" si="22"/>
        <v>3589314</v>
      </c>
      <c r="AN13" s="102">
        <v>17.8</v>
      </c>
      <c r="AO13" s="62">
        <v>2073668</v>
      </c>
      <c r="AP13" s="102">
        <v>0</v>
      </c>
      <c r="AQ13" s="102">
        <v>0</v>
      </c>
      <c r="AR13" s="61">
        <v>0</v>
      </c>
      <c r="AS13" s="62">
        <v>0</v>
      </c>
      <c r="AT13" s="62">
        <f t="shared" si="23"/>
        <v>2073668</v>
      </c>
      <c r="AU13" s="102">
        <f t="shared" si="24"/>
        <v>48.61</v>
      </c>
      <c r="AV13" s="62">
        <f t="shared" si="24"/>
        <v>5662982</v>
      </c>
      <c r="AW13" s="62">
        <f t="shared" si="25"/>
        <v>0</v>
      </c>
      <c r="AX13" s="62">
        <f t="shared" si="26"/>
        <v>5662982</v>
      </c>
      <c r="AY13" s="380">
        <f t="shared" si="27"/>
        <v>17.693</v>
      </c>
      <c r="AZ13" s="380">
        <f t="shared" si="28"/>
        <v>30.626</v>
      </c>
      <c r="BA13" s="380">
        <f t="shared" si="29"/>
        <v>48.319</v>
      </c>
      <c r="BB13" s="66">
        <v>0.02</v>
      </c>
      <c r="BC13" s="62">
        <v>6573901</v>
      </c>
      <c r="BD13" s="62">
        <v>0</v>
      </c>
      <c r="BE13" s="62">
        <f t="shared" si="30"/>
        <v>6573901</v>
      </c>
      <c r="BF13" s="62">
        <f t="shared" si="31"/>
        <v>328695050</v>
      </c>
      <c r="BG13" s="66">
        <f t="shared" si="32"/>
        <v>0.02</v>
      </c>
      <c r="BH13" s="66">
        <f t="shared" si="33"/>
        <v>0</v>
      </c>
      <c r="BI13" s="62">
        <f t="shared" si="34"/>
        <v>12513493</v>
      </c>
    </row>
    <row r="14" spans="2:61" ht="12.75">
      <c r="B14" s="60">
        <v>7</v>
      </c>
      <c r="C14" s="61" t="s">
        <v>9</v>
      </c>
      <c r="D14" s="61">
        <f>'Table 4 Formula'!U14</f>
        <v>3747</v>
      </c>
      <c r="E14" s="62">
        <f t="shared" si="0"/>
        <v>4774365</v>
      </c>
      <c r="F14" s="62">
        <f t="shared" si="9"/>
        <v>1274.18</v>
      </c>
      <c r="G14" s="62">
        <f t="shared" si="1"/>
        <v>2635197</v>
      </c>
      <c r="H14" s="62">
        <f t="shared" si="10"/>
        <v>703.28</v>
      </c>
      <c r="I14" s="62">
        <v>141862.5</v>
      </c>
      <c r="J14" s="62">
        <f t="shared" si="11"/>
        <v>37.86</v>
      </c>
      <c r="K14" s="62">
        <f t="shared" si="12"/>
        <v>7551424.5</v>
      </c>
      <c r="L14" s="62">
        <f t="shared" si="13"/>
        <v>2015.33</v>
      </c>
      <c r="M14" s="76">
        <f t="shared" si="2"/>
        <v>1.1673463</v>
      </c>
      <c r="N14" s="61">
        <f t="shared" si="3"/>
        <v>15</v>
      </c>
      <c r="O14" s="75">
        <f t="shared" si="4"/>
        <v>42.03</v>
      </c>
      <c r="P14" s="62">
        <f t="shared" si="5"/>
        <v>4881213</v>
      </c>
      <c r="Q14" s="62">
        <f t="shared" si="14"/>
        <v>1302.7</v>
      </c>
      <c r="R14" s="66">
        <f t="shared" si="6"/>
        <v>0.02</v>
      </c>
      <c r="S14" s="62">
        <f t="shared" si="7"/>
        <v>2927997</v>
      </c>
      <c r="T14" s="62">
        <f t="shared" si="15"/>
        <v>781.4243394715772</v>
      </c>
      <c r="U14" s="62">
        <f t="shared" si="16"/>
        <v>141862.5</v>
      </c>
      <c r="V14" s="62">
        <f t="shared" si="17"/>
        <v>37.86</v>
      </c>
      <c r="W14" s="62">
        <f t="shared" si="18"/>
        <v>7951072.5</v>
      </c>
      <c r="X14" s="62">
        <f t="shared" si="19"/>
        <v>2121.98</v>
      </c>
      <c r="Y14" s="64">
        <f t="shared" si="20"/>
        <v>1.052919</v>
      </c>
      <c r="Z14" s="61">
        <f t="shared" si="8"/>
        <v>22</v>
      </c>
      <c r="AA14" s="61"/>
      <c r="AB14" s="62">
        <v>127526140</v>
      </c>
      <c r="AC14" s="62">
        <v>11389790</v>
      </c>
      <c r="AD14" s="62">
        <f t="shared" si="21"/>
        <v>116136350</v>
      </c>
      <c r="AE14" s="102">
        <v>6.03</v>
      </c>
      <c r="AF14" s="62">
        <v>697383</v>
      </c>
      <c r="AG14" s="75">
        <v>26.36</v>
      </c>
      <c r="AH14" s="62">
        <v>3043904</v>
      </c>
      <c r="AI14" s="102">
        <v>0</v>
      </c>
      <c r="AJ14" s="102">
        <v>0</v>
      </c>
      <c r="AK14" s="61">
        <v>0</v>
      </c>
      <c r="AL14" s="62">
        <v>0</v>
      </c>
      <c r="AM14" s="62">
        <f t="shared" si="22"/>
        <v>3741287</v>
      </c>
      <c r="AN14" s="102">
        <v>0</v>
      </c>
      <c r="AO14" s="62">
        <v>0</v>
      </c>
      <c r="AP14" s="102">
        <v>4</v>
      </c>
      <c r="AQ14" s="102">
        <v>59</v>
      </c>
      <c r="AR14" s="61">
        <v>7</v>
      </c>
      <c r="AS14" s="62">
        <v>1139926</v>
      </c>
      <c r="AT14" s="62">
        <f t="shared" si="23"/>
        <v>1139926</v>
      </c>
      <c r="AU14" s="102">
        <f t="shared" si="24"/>
        <v>32.39</v>
      </c>
      <c r="AV14" s="62">
        <f t="shared" si="24"/>
        <v>3741287</v>
      </c>
      <c r="AW14" s="62">
        <f t="shared" si="25"/>
        <v>1139926</v>
      </c>
      <c r="AX14" s="62">
        <f t="shared" si="26"/>
        <v>4881213</v>
      </c>
      <c r="AY14" s="380">
        <f t="shared" si="27"/>
        <v>9.815</v>
      </c>
      <c r="AZ14" s="380">
        <f t="shared" si="28"/>
        <v>32.215</v>
      </c>
      <c r="BA14" s="380">
        <f t="shared" si="29"/>
        <v>42.03</v>
      </c>
      <c r="BB14" s="66">
        <v>0.02</v>
      </c>
      <c r="BC14" s="62">
        <v>2927997</v>
      </c>
      <c r="BD14" s="62">
        <v>0</v>
      </c>
      <c r="BE14" s="62">
        <f t="shared" si="30"/>
        <v>2927997</v>
      </c>
      <c r="BF14" s="62">
        <f t="shared" si="31"/>
        <v>146399850</v>
      </c>
      <c r="BG14" s="66">
        <f t="shared" si="32"/>
        <v>0.02</v>
      </c>
      <c r="BH14" s="66">
        <f t="shared" si="33"/>
        <v>0</v>
      </c>
      <c r="BI14" s="62">
        <f t="shared" si="34"/>
        <v>7951072.5</v>
      </c>
    </row>
    <row r="15" spans="2:61" ht="12.75">
      <c r="B15" s="60">
        <v>8</v>
      </c>
      <c r="C15" s="61" t="s">
        <v>10</v>
      </c>
      <c r="D15" s="61">
        <f>'Table 4 Formula'!U15</f>
        <v>23661</v>
      </c>
      <c r="E15" s="62">
        <f t="shared" si="0"/>
        <v>11322963</v>
      </c>
      <c r="F15" s="62">
        <f t="shared" si="9"/>
        <v>478.55</v>
      </c>
      <c r="G15" s="62">
        <f t="shared" si="1"/>
        <v>24135224</v>
      </c>
      <c r="H15" s="62">
        <f t="shared" si="10"/>
        <v>1020.04</v>
      </c>
      <c r="I15" s="62">
        <v>572170</v>
      </c>
      <c r="J15" s="62">
        <f t="shared" si="11"/>
        <v>24.18</v>
      </c>
      <c r="K15" s="62">
        <f t="shared" si="12"/>
        <v>36030357</v>
      </c>
      <c r="L15" s="62">
        <f t="shared" si="13"/>
        <v>1522.77</v>
      </c>
      <c r="M15" s="76">
        <f t="shared" si="2"/>
        <v>0.88203913</v>
      </c>
      <c r="N15" s="61">
        <f t="shared" si="3"/>
        <v>24</v>
      </c>
      <c r="O15" s="75">
        <f t="shared" si="4"/>
        <v>53.682</v>
      </c>
      <c r="P15" s="62">
        <f t="shared" si="5"/>
        <v>14785719</v>
      </c>
      <c r="Q15" s="62">
        <f t="shared" si="14"/>
        <v>624.9</v>
      </c>
      <c r="R15" s="66">
        <f t="shared" si="6"/>
        <v>0.015</v>
      </c>
      <c r="S15" s="62">
        <f t="shared" si="7"/>
        <v>20112687</v>
      </c>
      <c r="T15" s="62">
        <f t="shared" si="15"/>
        <v>850.0353746671739</v>
      </c>
      <c r="U15" s="62">
        <f t="shared" si="16"/>
        <v>572170</v>
      </c>
      <c r="V15" s="62">
        <f t="shared" si="17"/>
        <v>24.18</v>
      </c>
      <c r="W15" s="62">
        <f t="shared" si="18"/>
        <v>35470576</v>
      </c>
      <c r="X15" s="62">
        <f t="shared" si="19"/>
        <v>1499.12</v>
      </c>
      <c r="Y15" s="64">
        <f t="shared" si="20"/>
        <v>0.984469</v>
      </c>
      <c r="Z15" s="61">
        <f t="shared" si="8"/>
        <v>31</v>
      </c>
      <c r="AA15" s="61"/>
      <c r="AB15" s="62">
        <v>394161600</v>
      </c>
      <c r="AC15" s="62">
        <v>118730730</v>
      </c>
      <c r="AD15" s="62">
        <f t="shared" si="21"/>
        <v>275430870</v>
      </c>
      <c r="AE15" s="102">
        <v>4.22</v>
      </c>
      <c r="AF15" s="62">
        <v>1129734</v>
      </c>
      <c r="AG15" s="75">
        <v>44.92</v>
      </c>
      <c r="AH15" s="62">
        <v>12020390</v>
      </c>
      <c r="AI15" s="102">
        <v>0</v>
      </c>
      <c r="AJ15" s="102">
        <v>0</v>
      </c>
      <c r="AK15" s="61">
        <v>0</v>
      </c>
      <c r="AL15" s="62">
        <v>0</v>
      </c>
      <c r="AM15" s="62">
        <f t="shared" si="22"/>
        <v>13150124</v>
      </c>
      <c r="AN15" s="102">
        <v>0</v>
      </c>
      <c r="AO15" s="62">
        <v>0</v>
      </c>
      <c r="AP15" s="102">
        <v>6</v>
      </c>
      <c r="AQ15" s="102">
        <v>6</v>
      </c>
      <c r="AR15" s="61">
        <v>1</v>
      </c>
      <c r="AS15" s="62">
        <v>1635595</v>
      </c>
      <c r="AT15" s="62">
        <f t="shared" si="23"/>
        <v>1635595</v>
      </c>
      <c r="AU15" s="102">
        <f t="shared" si="24"/>
        <v>49.14</v>
      </c>
      <c r="AV15" s="62">
        <f t="shared" si="24"/>
        <v>13150124</v>
      </c>
      <c r="AW15" s="62">
        <f t="shared" si="25"/>
        <v>1635595</v>
      </c>
      <c r="AX15" s="62">
        <f t="shared" si="26"/>
        <v>14785719</v>
      </c>
      <c r="AY15" s="380">
        <f t="shared" si="27"/>
        <v>5.938</v>
      </c>
      <c r="AZ15" s="380">
        <f t="shared" si="28"/>
        <v>47.744</v>
      </c>
      <c r="BA15" s="380">
        <f t="shared" si="29"/>
        <v>53.682</v>
      </c>
      <c r="BB15" s="66">
        <v>0.015</v>
      </c>
      <c r="BC15" s="62">
        <v>20112687</v>
      </c>
      <c r="BD15" s="62">
        <v>0</v>
      </c>
      <c r="BE15" s="62">
        <f t="shared" si="30"/>
        <v>20112687</v>
      </c>
      <c r="BF15" s="62">
        <f t="shared" si="31"/>
        <v>1340845800</v>
      </c>
      <c r="BG15" s="66">
        <f t="shared" si="32"/>
        <v>0.015</v>
      </c>
      <c r="BH15" s="66">
        <f t="shared" si="33"/>
        <v>0</v>
      </c>
      <c r="BI15" s="62">
        <f t="shared" si="34"/>
        <v>35470576</v>
      </c>
    </row>
    <row r="16" spans="2:61" ht="12.75">
      <c r="B16" s="60">
        <v>9</v>
      </c>
      <c r="C16" s="61" t="s">
        <v>11</v>
      </c>
      <c r="D16" s="61">
        <f>'Table 4 Formula'!U16</f>
        <v>59043</v>
      </c>
      <c r="E16" s="62">
        <f t="shared" si="0"/>
        <v>32833599</v>
      </c>
      <c r="F16" s="62">
        <f t="shared" si="9"/>
        <v>556.1</v>
      </c>
      <c r="G16" s="62">
        <f t="shared" si="1"/>
        <v>58664360</v>
      </c>
      <c r="H16" s="62">
        <f t="shared" si="10"/>
        <v>993.59</v>
      </c>
      <c r="I16" s="62">
        <v>2337603</v>
      </c>
      <c r="J16" s="62">
        <f t="shared" si="11"/>
        <v>39.59</v>
      </c>
      <c r="K16" s="62">
        <f t="shared" si="12"/>
        <v>93835562</v>
      </c>
      <c r="L16" s="62">
        <f t="shared" si="13"/>
        <v>1589.27</v>
      </c>
      <c r="M16" s="76">
        <f t="shared" si="2"/>
        <v>0.92055815</v>
      </c>
      <c r="N16" s="61">
        <f t="shared" si="3"/>
        <v>21</v>
      </c>
      <c r="O16" s="75">
        <f t="shared" si="4"/>
        <v>81.861</v>
      </c>
      <c r="P16" s="62">
        <f t="shared" si="5"/>
        <v>65380420</v>
      </c>
      <c r="Q16" s="62">
        <f t="shared" si="14"/>
        <v>1107.34</v>
      </c>
      <c r="R16" s="66">
        <f t="shared" si="6"/>
        <v>0.015</v>
      </c>
      <c r="S16" s="62">
        <f t="shared" si="7"/>
        <v>48886967</v>
      </c>
      <c r="T16" s="62">
        <f t="shared" si="15"/>
        <v>827.9892112528157</v>
      </c>
      <c r="U16" s="62">
        <f t="shared" si="16"/>
        <v>2337603</v>
      </c>
      <c r="V16" s="62">
        <f t="shared" si="17"/>
        <v>39.59</v>
      </c>
      <c r="W16" s="62">
        <f t="shared" si="18"/>
        <v>116604990</v>
      </c>
      <c r="X16" s="62">
        <f t="shared" si="19"/>
        <v>1974.92</v>
      </c>
      <c r="Y16" s="64">
        <f t="shared" si="20"/>
        <v>1.242659</v>
      </c>
      <c r="Z16" s="61">
        <f t="shared" si="8"/>
        <v>8</v>
      </c>
      <c r="AA16" s="61"/>
      <c r="AB16" s="62">
        <v>1077027570</v>
      </c>
      <c r="AC16" s="62">
        <v>278350870</v>
      </c>
      <c r="AD16" s="62">
        <f t="shared" si="21"/>
        <v>798676700</v>
      </c>
      <c r="AE16" s="102">
        <v>9.41</v>
      </c>
      <c r="AF16" s="62">
        <v>7325362</v>
      </c>
      <c r="AG16" s="75">
        <v>68.27</v>
      </c>
      <c r="AH16" s="62">
        <v>53145849</v>
      </c>
      <c r="AI16" s="102">
        <v>0</v>
      </c>
      <c r="AJ16" s="102">
        <v>0</v>
      </c>
      <c r="AK16" s="61">
        <v>0</v>
      </c>
      <c r="AL16" s="62">
        <v>0</v>
      </c>
      <c r="AM16" s="62">
        <f t="shared" si="22"/>
        <v>60471211</v>
      </c>
      <c r="AN16" s="102">
        <v>6.3</v>
      </c>
      <c r="AO16" s="62">
        <v>4909209</v>
      </c>
      <c r="AP16" s="102">
        <v>0</v>
      </c>
      <c r="AQ16" s="102">
        <v>0</v>
      </c>
      <c r="AR16" s="61">
        <v>0</v>
      </c>
      <c r="AS16" s="62">
        <v>0</v>
      </c>
      <c r="AT16" s="62">
        <f t="shared" si="23"/>
        <v>4909209</v>
      </c>
      <c r="AU16" s="102">
        <f t="shared" si="24"/>
        <v>83.97999999999999</v>
      </c>
      <c r="AV16" s="62">
        <f t="shared" si="24"/>
        <v>65380420</v>
      </c>
      <c r="AW16" s="62">
        <f t="shared" si="25"/>
        <v>0</v>
      </c>
      <c r="AX16" s="62">
        <f t="shared" si="26"/>
        <v>65380420</v>
      </c>
      <c r="AY16" s="380">
        <f t="shared" si="27"/>
        <v>6.147</v>
      </c>
      <c r="AZ16" s="380">
        <f t="shared" si="28"/>
        <v>75.714</v>
      </c>
      <c r="BA16" s="380">
        <f t="shared" si="29"/>
        <v>81.861</v>
      </c>
      <c r="BB16" s="66">
        <v>0.015</v>
      </c>
      <c r="BC16" s="62">
        <v>48886967</v>
      </c>
      <c r="BD16" s="62">
        <v>0</v>
      </c>
      <c r="BE16" s="62">
        <f t="shared" si="30"/>
        <v>48886967</v>
      </c>
      <c r="BF16" s="62">
        <f t="shared" si="31"/>
        <v>3259131133</v>
      </c>
      <c r="BG16" s="66">
        <f t="shared" si="32"/>
        <v>0.015</v>
      </c>
      <c r="BH16" s="66">
        <f t="shared" si="33"/>
        <v>0</v>
      </c>
      <c r="BI16" s="62">
        <f t="shared" si="34"/>
        <v>116604990</v>
      </c>
    </row>
    <row r="17" spans="2:61" ht="12.75">
      <c r="B17" s="83">
        <v>10</v>
      </c>
      <c r="C17" s="84" t="s">
        <v>12</v>
      </c>
      <c r="D17" s="84">
        <f>'Table 4 Formula'!U17</f>
        <v>42391</v>
      </c>
      <c r="E17" s="85">
        <f t="shared" si="0"/>
        <v>31405253</v>
      </c>
      <c r="F17" s="85">
        <f t="shared" si="9"/>
        <v>740.85</v>
      </c>
      <c r="G17" s="85">
        <f t="shared" si="1"/>
        <v>55038972</v>
      </c>
      <c r="H17" s="85">
        <f t="shared" si="10"/>
        <v>1298.36</v>
      </c>
      <c r="I17" s="85">
        <v>998381.5</v>
      </c>
      <c r="J17" s="85">
        <f t="shared" si="11"/>
        <v>23.55</v>
      </c>
      <c r="K17" s="85">
        <f t="shared" si="12"/>
        <v>87442606.5</v>
      </c>
      <c r="L17" s="85">
        <f t="shared" si="13"/>
        <v>2062.76</v>
      </c>
      <c r="M17" s="94">
        <f t="shared" si="2"/>
        <v>1.19481934</v>
      </c>
      <c r="N17" s="84">
        <f t="shared" si="3"/>
        <v>12</v>
      </c>
      <c r="O17" s="93">
        <f t="shared" si="4"/>
        <v>31.229</v>
      </c>
      <c r="P17" s="85">
        <f t="shared" si="5"/>
        <v>23857008</v>
      </c>
      <c r="Q17" s="85">
        <f t="shared" si="14"/>
        <v>562.78</v>
      </c>
      <c r="R17" s="90">
        <f t="shared" si="6"/>
        <v>0.02</v>
      </c>
      <c r="S17" s="85">
        <f t="shared" si="7"/>
        <v>61154413</v>
      </c>
      <c r="T17" s="85">
        <f t="shared" si="15"/>
        <v>1442.6272793753392</v>
      </c>
      <c r="U17" s="85">
        <f t="shared" si="16"/>
        <v>998381.5</v>
      </c>
      <c r="V17" s="85">
        <f t="shared" si="17"/>
        <v>23.55</v>
      </c>
      <c r="W17" s="85">
        <f t="shared" si="18"/>
        <v>86009802.5</v>
      </c>
      <c r="X17" s="85">
        <f t="shared" si="19"/>
        <v>2028.96</v>
      </c>
      <c r="Y17" s="88">
        <f t="shared" si="20"/>
        <v>0.983614</v>
      </c>
      <c r="Z17" s="84">
        <f t="shared" si="8"/>
        <v>32</v>
      </c>
      <c r="AA17" s="84"/>
      <c r="AB17" s="85">
        <v>986943540</v>
      </c>
      <c r="AC17" s="85">
        <v>223011340</v>
      </c>
      <c r="AD17" s="85">
        <f t="shared" si="21"/>
        <v>763932200</v>
      </c>
      <c r="AE17" s="103">
        <v>5.63</v>
      </c>
      <c r="AF17" s="85">
        <v>4222599</v>
      </c>
      <c r="AG17" s="93">
        <v>13.3</v>
      </c>
      <c r="AH17" s="85">
        <v>9975242</v>
      </c>
      <c r="AI17" s="103">
        <v>0</v>
      </c>
      <c r="AJ17" s="103">
        <v>0</v>
      </c>
      <c r="AK17" s="84">
        <v>0</v>
      </c>
      <c r="AL17" s="85">
        <v>0</v>
      </c>
      <c r="AM17" s="85">
        <f t="shared" si="22"/>
        <v>14197841</v>
      </c>
      <c r="AN17" s="103">
        <v>0</v>
      </c>
      <c r="AO17" s="85">
        <v>0</v>
      </c>
      <c r="AP17" s="103">
        <v>4.8</v>
      </c>
      <c r="AQ17" s="103">
        <v>35.5</v>
      </c>
      <c r="AR17" s="84">
        <v>10</v>
      </c>
      <c r="AS17" s="85">
        <v>9659167</v>
      </c>
      <c r="AT17" s="85">
        <f t="shared" si="23"/>
        <v>9659167</v>
      </c>
      <c r="AU17" s="103">
        <f t="shared" si="24"/>
        <v>18.93</v>
      </c>
      <c r="AV17" s="85">
        <f t="shared" si="24"/>
        <v>14197841</v>
      </c>
      <c r="AW17" s="85">
        <f t="shared" si="25"/>
        <v>9659167</v>
      </c>
      <c r="AX17" s="85">
        <f t="shared" si="26"/>
        <v>23857008</v>
      </c>
      <c r="AY17" s="381">
        <f t="shared" si="27"/>
        <v>12.644</v>
      </c>
      <c r="AZ17" s="381">
        <f t="shared" si="28"/>
        <v>18.585</v>
      </c>
      <c r="BA17" s="381">
        <f t="shared" si="29"/>
        <v>31.229</v>
      </c>
      <c r="BB17" s="90">
        <v>0.02</v>
      </c>
      <c r="BC17" s="85">
        <v>61154413</v>
      </c>
      <c r="BD17" s="85">
        <v>0</v>
      </c>
      <c r="BE17" s="85">
        <f t="shared" si="30"/>
        <v>61154413</v>
      </c>
      <c r="BF17" s="85">
        <f t="shared" si="31"/>
        <v>3057720650</v>
      </c>
      <c r="BG17" s="90">
        <f t="shared" si="32"/>
        <v>0.02</v>
      </c>
      <c r="BH17" s="90">
        <f t="shared" si="33"/>
        <v>0</v>
      </c>
      <c r="BI17" s="85">
        <f t="shared" si="34"/>
        <v>86009802.5</v>
      </c>
    </row>
    <row r="18" spans="2:61" ht="12.75">
      <c r="B18" s="60">
        <v>11</v>
      </c>
      <c r="C18" s="61" t="s">
        <v>13</v>
      </c>
      <c r="D18" s="61">
        <f>'Table 4 Formula'!U18</f>
        <v>2623</v>
      </c>
      <c r="E18" s="62">
        <f t="shared" si="0"/>
        <v>964416</v>
      </c>
      <c r="F18" s="62">
        <f t="shared" si="9"/>
        <v>367.68</v>
      </c>
      <c r="G18" s="62">
        <f t="shared" si="1"/>
        <v>1213312</v>
      </c>
      <c r="H18" s="62">
        <f t="shared" si="10"/>
        <v>462.57</v>
      </c>
      <c r="I18" s="62">
        <v>83581</v>
      </c>
      <c r="J18" s="62">
        <f t="shared" si="11"/>
        <v>31.86</v>
      </c>
      <c r="K18" s="62">
        <f t="shared" si="12"/>
        <v>2261309</v>
      </c>
      <c r="L18" s="62">
        <f t="shared" si="13"/>
        <v>862.11</v>
      </c>
      <c r="M18" s="76">
        <f t="shared" si="2"/>
        <v>0.49936284</v>
      </c>
      <c r="N18" s="61">
        <f t="shared" si="3"/>
        <v>59</v>
      </c>
      <c r="O18" s="75">
        <f t="shared" si="4"/>
        <v>37.986</v>
      </c>
      <c r="P18" s="62">
        <f t="shared" si="5"/>
        <v>891134</v>
      </c>
      <c r="Q18" s="62">
        <f t="shared" si="14"/>
        <v>339.74</v>
      </c>
      <c r="R18" s="66">
        <f t="shared" si="6"/>
        <v>0.02</v>
      </c>
      <c r="S18" s="62">
        <f t="shared" si="7"/>
        <v>1348124</v>
      </c>
      <c r="T18" s="62">
        <f t="shared" si="15"/>
        <v>513.9626382005338</v>
      </c>
      <c r="U18" s="62">
        <f t="shared" si="16"/>
        <v>83581</v>
      </c>
      <c r="V18" s="62">
        <f t="shared" si="17"/>
        <v>31.86</v>
      </c>
      <c r="W18" s="62">
        <f t="shared" si="18"/>
        <v>2322839</v>
      </c>
      <c r="X18" s="62">
        <f t="shared" si="19"/>
        <v>885.57</v>
      </c>
      <c r="Y18" s="64">
        <f t="shared" si="20"/>
        <v>1.027212</v>
      </c>
      <c r="Z18" s="61">
        <f t="shared" si="8"/>
        <v>26</v>
      </c>
      <c r="AA18" s="61"/>
      <c r="AB18" s="62">
        <v>33260890</v>
      </c>
      <c r="AC18" s="62">
        <v>9801496</v>
      </c>
      <c r="AD18" s="62">
        <f t="shared" si="21"/>
        <v>23459394</v>
      </c>
      <c r="AE18" s="102">
        <v>5.04</v>
      </c>
      <c r="AF18" s="62">
        <v>116900</v>
      </c>
      <c r="AG18" s="75">
        <v>30.85</v>
      </c>
      <c r="AH18" s="62">
        <v>710978</v>
      </c>
      <c r="AI18" s="102">
        <v>0</v>
      </c>
      <c r="AJ18" s="102">
        <v>0</v>
      </c>
      <c r="AK18" s="61">
        <v>0</v>
      </c>
      <c r="AL18" s="62">
        <v>0</v>
      </c>
      <c r="AM18" s="62">
        <f t="shared" si="22"/>
        <v>827878</v>
      </c>
      <c r="AN18" s="102">
        <v>2.75</v>
      </c>
      <c r="AO18" s="62">
        <v>63256</v>
      </c>
      <c r="AP18" s="102">
        <v>0</v>
      </c>
      <c r="AQ18" s="102">
        <v>0</v>
      </c>
      <c r="AR18" s="61">
        <v>0</v>
      </c>
      <c r="AS18" s="62">
        <v>0</v>
      </c>
      <c r="AT18" s="62">
        <f t="shared" si="23"/>
        <v>63256</v>
      </c>
      <c r="AU18" s="102">
        <f t="shared" si="24"/>
        <v>38.64</v>
      </c>
      <c r="AV18" s="62">
        <f t="shared" si="24"/>
        <v>891134</v>
      </c>
      <c r="AW18" s="62">
        <f t="shared" si="25"/>
        <v>0</v>
      </c>
      <c r="AX18" s="62">
        <f t="shared" si="26"/>
        <v>891134</v>
      </c>
      <c r="AY18" s="380">
        <f t="shared" si="27"/>
        <v>2.696</v>
      </c>
      <c r="AZ18" s="380">
        <f t="shared" si="28"/>
        <v>35.29</v>
      </c>
      <c r="BA18" s="380">
        <f t="shared" si="29"/>
        <v>37.986</v>
      </c>
      <c r="BB18" s="66">
        <v>0.02</v>
      </c>
      <c r="BC18" s="62">
        <v>1348124</v>
      </c>
      <c r="BD18" s="62">
        <v>0</v>
      </c>
      <c r="BE18" s="62">
        <f t="shared" si="30"/>
        <v>1348124</v>
      </c>
      <c r="BF18" s="62">
        <f t="shared" si="31"/>
        <v>67406200</v>
      </c>
      <c r="BG18" s="66">
        <f t="shared" si="32"/>
        <v>0.02</v>
      </c>
      <c r="BH18" s="66">
        <f t="shared" si="33"/>
        <v>0</v>
      </c>
      <c r="BI18" s="62">
        <f t="shared" si="34"/>
        <v>2322839</v>
      </c>
    </row>
    <row r="19" spans="2:61" ht="12.75">
      <c r="B19" s="60">
        <v>12</v>
      </c>
      <c r="C19" s="61" t="s">
        <v>14</v>
      </c>
      <c r="D19" s="61">
        <f>'Table 4 Formula'!U19</f>
        <v>2887</v>
      </c>
      <c r="E19" s="62">
        <f t="shared" si="0"/>
        <v>5057792</v>
      </c>
      <c r="F19" s="62">
        <f t="shared" si="9"/>
        <v>1751.92</v>
      </c>
      <c r="G19" s="62">
        <f t="shared" si="1"/>
        <v>253849</v>
      </c>
      <c r="H19" s="62">
        <f t="shared" si="10"/>
        <v>87.93</v>
      </c>
      <c r="I19" s="62">
        <v>591284.5</v>
      </c>
      <c r="J19" s="62">
        <f t="shared" si="11"/>
        <v>204.81</v>
      </c>
      <c r="K19" s="62">
        <f t="shared" si="12"/>
        <v>5902925.5</v>
      </c>
      <c r="L19" s="62">
        <f t="shared" si="13"/>
        <v>2044.66</v>
      </c>
      <c r="M19" s="76">
        <f t="shared" si="2"/>
        <v>1.18433521</v>
      </c>
      <c r="N19" s="61">
        <f t="shared" si="3"/>
        <v>14</v>
      </c>
      <c r="O19" s="75">
        <f t="shared" si="4"/>
        <v>45.585</v>
      </c>
      <c r="P19" s="62">
        <f t="shared" si="5"/>
        <v>5608347</v>
      </c>
      <c r="Q19" s="62">
        <f t="shared" si="14"/>
        <v>1942.62</v>
      </c>
      <c r="R19" s="66">
        <f t="shared" si="6"/>
        <v>0</v>
      </c>
      <c r="S19" s="62">
        <f t="shared" si="7"/>
        <v>0</v>
      </c>
      <c r="T19" s="62">
        <f t="shared" si="15"/>
        <v>0</v>
      </c>
      <c r="U19" s="62">
        <f t="shared" si="16"/>
        <v>591284.5</v>
      </c>
      <c r="V19" s="62">
        <f t="shared" si="17"/>
        <v>204.81</v>
      </c>
      <c r="W19" s="62">
        <f t="shared" si="18"/>
        <v>6199631.5</v>
      </c>
      <c r="X19" s="62">
        <f t="shared" si="19"/>
        <v>2147.43</v>
      </c>
      <c r="Y19" s="64">
        <f t="shared" si="20"/>
        <v>1.050263</v>
      </c>
      <c r="Z19" s="61">
        <f t="shared" si="8"/>
        <v>23</v>
      </c>
      <c r="AA19" s="61"/>
      <c r="AB19" s="62">
        <v>132993274</v>
      </c>
      <c r="AC19" s="62">
        <v>9962570</v>
      </c>
      <c r="AD19" s="62">
        <f t="shared" si="21"/>
        <v>123030704</v>
      </c>
      <c r="AE19" s="102">
        <v>4.51</v>
      </c>
      <c r="AF19" s="62">
        <v>504977</v>
      </c>
      <c r="AG19" s="75">
        <v>44.75</v>
      </c>
      <c r="AH19" s="62">
        <v>5009950</v>
      </c>
      <c r="AI19" s="102">
        <v>0</v>
      </c>
      <c r="AJ19" s="102">
        <v>0</v>
      </c>
      <c r="AK19" s="61">
        <v>0</v>
      </c>
      <c r="AL19" s="62">
        <v>0</v>
      </c>
      <c r="AM19" s="62">
        <f t="shared" si="22"/>
        <v>5514927</v>
      </c>
      <c r="AN19" s="102">
        <v>0</v>
      </c>
      <c r="AO19" s="62">
        <v>0</v>
      </c>
      <c r="AP19" s="102">
        <v>10</v>
      </c>
      <c r="AQ19" s="102">
        <v>10</v>
      </c>
      <c r="AR19" s="61">
        <v>1</v>
      </c>
      <c r="AS19" s="62">
        <v>93420</v>
      </c>
      <c r="AT19" s="62">
        <f t="shared" si="23"/>
        <v>93420</v>
      </c>
      <c r="AU19" s="102">
        <f t="shared" si="24"/>
        <v>49.26</v>
      </c>
      <c r="AV19" s="62">
        <f t="shared" si="24"/>
        <v>5514927</v>
      </c>
      <c r="AW19" s="62">
        <f t="shared" si="25"/>
        <v>93420</v>
      </c>
      <c r="AX19" s="62">
        <f t="shared" si="26"/>
        <v>5608347</v>
      </c>
      <c r="AY19" s="380">
        <f t="shared" si="27"/>
        <v>0.759</v>
      </c>
      <c r="AZ19" s="380">
        <f t="shared" si="28"/>
        <v>44.826</v>
      </c>
      <c r="BA19" s="380">
        <f t="shared" si="29"/>
        <v>45.585</v>
      </c>
      <c r="BB19" s="66">
        <v>0</v>
      </c>
      <c r="BC19" s="62">
        <v>0</v>
      </c>
      <c r="BD19" s="62">
        <v>0</v>
      </c>
      <c r="BE19" s="62">
        <f t="shared" si="30"/>
        <v>0</v>
      </c>
      <c r="BF19" s="62">
        <f>ROUND((564109.85/0.04),0)</f>
        <v>14102746</v>
      </c>
      <c r="BG19" s="66">
        <f t="shared" si="32"/>
        <v>0</v>
      </c>
      <c r="BH19" s="66">
        <f t="shared" si="33"/>
        <v>0</v>
      </c>
      <c r="BI19" s="62">
        <f t="shared" si="34"/>
        <v>6199631.5</v>
      </c>
    </row>
    <row r="20" spans="2:61" ht="12.75">
      <c r="B20" s="60">
        <v>13</v>
      </c>
      <c r="C20" s="61" t="s">
        <v>15</v>
      </c>
      <c r="D20" s="61">
        <f>'Table 4 Formula'!U20</f>
        <v>2702</v>
      </c>
      <c r="E20" s="62">
        <f t="shared" si="0"/>
        <v>1055654</v>
      </c>
      <c r="F20" s="62">
        <f t="shared" si="9"/>
        <v>390.69</v>
      </c>
      <c r="G20" s="62">
        <f t="shared" si="1"/>
        <v>1384696</v>
      </c>
      <c r="H20" s="62">
        <f t="shared" si="10"/>
        <v>512.47</v>
      </c>
      <c r="I20" s="62">
        <v>91868</v>
      </c>
      <c r="J20" s="62">
        <f t="shared" si="11"/>
        <v>34</v>
      </c>
      <c r="K20" s="62">
        <f t="shared" si="12"/>
        <v>2532218</v>
      </c>
      <c r="L20" s="62">
        <f t="shared" si="13"/>
        <v>937.16</v>
      </c>
      <c r="M20" s="76">
        <f t="shared" si="2"/>
        <v>0.5428343</v>
      </c>
      <c r="N20" s="61">
        <f t="shared" si="3"/>
        <v>53</v>
      </c>
      <c r="O20" s="75">
        <f t="shared" si="4"/>
        <v>39.756</v>
      </c>
      <c r="P20" s="62">
        <f t="shared" si="5"/>
        <v>1020892</v>
      </c>
      <c r="Q20" s="62">
        <f t="shared" si="14"/>
        <v>377.83</v>
      </c>
      <c r="R20" s="66">
        <f t="shared" si="6"/>
        <v>0.02</v>
      </c>
      <c r="S20" s="62">
        <f t="shared" si="7"/>
        <v>1538551</v>
      </c>
      <c r="T20" s="62">
        <f t="shared" si="15"/>
        <v>569.4119170984455</v>
      </c>
      <c r="U20" s="62">
        <f t="shared" si="16"/>
        <v>91868</v>
      </c>
      <c r="V20" s="62">
        <f t="shared" si="17"/>
        <v>34</v>
      </c>
      <c r="W20" s="62">
        <f t="shared" si="18"/>
        <v>2651311</v>
      </c>
      <c r="X20" s="62">
        <f t="shared" si="19"/>
        <v>981.24</v>
      </c>
      <c r="Y20" s="64">
        <f t="shared" si="20"/>
        <v>1.047036</v>
      </c>
      <c r="Z20" s="61">
        <f t="shared" si="8"/>
        <v>24</v>
      </c>
      <c r="AA20" s="61"/>
      <c r="AB20" s="62">
        <v>34891920</v>
      </c>
      <c r="AC20" s="62">
        <v>9213160</v>
      </c>
      <c r="AD20" s="62">
        <f t="shared" si="21"/>
        <v>25678760</v>
      </c>
      <c r="AE20" s="102">
        <v>4.29</v>
      </c>
      <c r="AF20" s="62">
        <v>108922</v>
      </c>
      <c r="AG20" s="75">
        <v>12.75</v>
      </c>
      <c r="AH20" s="62">
        <v>323747</v>
      </c>
      <c r="AI20" s="102">
        <v>3.57</v>
      </c>
      <c r="AJ20" s="102">
        <v>5.39</v>
      </c>
      <c r="AK20" s="61">
        <v>4</v>
      </c>
      <c r="AL20" s="62">
        <v>106481</v>
      </c>
      <c r="AM20" s="62">
        <f t="shared" si="22"/>
        <v>539150</v>
      </c>
      <c r="AN20" s="102">
        <v>0</v>
      </c>
      <c r="AO20" s="62">
        <v>0</v>
      </c>
      <c r="AP20" s="102">
        <v>7.16</v>
      </c>
      <c r="AQ20" s="102">
        <v>49.45</v>
      </c>
      <c r="AR20" s="61">
        <v>4</v>
      </c>
      <c r="AS20" s="62">
        <v>481742</v>
      </c>
      <c r="AT20" s="62">
        <f t="shared" si="23"/>
        <v>481742</v>
      </c>
      <c r="AU20" s="102">
        <f t="shared" si="24"/>
        <v>17.04</v>
      </c>
      <c r="AV20" s="62">
        <f t="shared" si="24"/>
        <v>432669</v>
      </c>
      <c r="AW20" s="62">
        <f t="shared" si="25"/>
        <v>588223</v>
      </c>
      <c r="AX20" s="62">
        <f t="shared" si="26"/>
        <v>1020892</v>
      </c>
      <c r="AY20" s="380">
        <f t="shared" si="27"/>
        <v>18.76</v>
      </c>
      <c r="AZ20" s="380">
        <f t="shared" si="28"/>
        <v>20.996</v>
      </c>
      <c r="BA20" s="380">
        <f t="shared" si="29"/>
        <v>39.756</v>
      </c>
      <c r="BB20" s="66">
        <v>0.02</v>
      </c>
      <c r="BC20" s="62">
        <v>1538551</v>
      </c>
      <c r="BD20" s="62">
        <v>0</v>
      </c>
      <c r="BE20" s="62">
        <f t="shared" si="30"/>
        <v>1538551</v>
      </c>
      <c r="BF20" s="62">
        <f t="shared" si="31"/>
        <v>76927550</v>
      </c>
      <c r="BG20" s="66">
        <f t="shared" si="32"/>
        <v>0.02</v>
      </c>
      <c r="BH20" s="66">
        <f t="shared" si="33"/>
        <v>0</v>
      </c>
      <c r="BI20" s="62">
        <f t="shared" si="34"/>
        <v>2651311</v>
      </c>
    </row>
    <row r="21" spans="2:61" ht="12.75">
      <c r="B21" s="60">
        <v>14</v>
      </c>
      <c r="C21" s="61" t="s">
        <v>16</v>
      </c>
      <c r="D21" s="61">
        <f>'Table 4 Formula'!U21</f>
        <v>4248</v>
      </c>
      <c r="E21" s="62">
        <f t="shared" si="0"/>
        <v>2658623</v>
      </c>
      <c r="F21" s="62">
        <f t="shared" si="9"/>
        <v>625.85</v>
      </c>
      <c r="G21" s="62">
        <f t="shared" si="1"/>
        <v>2092435</v>
      </c>
      <c r="H21" s="62">
        <f t="shared" si="10"/>
        <v>492.57</v>
      </c>
      <c r="I21" s="62">
        <v>187851.5</v>
      </c>
      <c r="J21" s="62">
        <f t="shared" si="11"/>
        <v>44.22</v>
      </c>
      <c r="K21" s="62">
        <f t="shared" si="12"/>
        <v>4938909.5</v>
      </c>
      <c r="L21" s="62">
        <f t="shared" si="13"/>
        <v>1162.64</v>
      </c>
      <c r="M21" s="76">
        <f t="shared" si="2"/>
        <v>0.67343984</v>
      </c>
      <c r="N21" s="61">
        <f t="shared" si="3"/>
        <v>38</v>
      </c>
      <c r="O21" s="75">
        <f t="shared" si="4"/>
        <v>29.603</v>
      </c>
      <c r="P21" s="62">
        <f t="shared" si="5"/>
        <v>1914486</v>
      </c>
      <c r="Q21" s="62">
        <f t="shared" si="14"/>
        <v>450.68</v>
      </c>
      <c r="R21" s="66">
        <f t="shared" si="6"/>
        <v>0.02</v>
      </c>
      <c r="S21" s="62">
        <f t="shared" si="7"/>
        <v>2324928</v>
      </c>
      <c r="T21" s="62">
        <f t="shared" si="15"/>
        <v>547.2994350282486</v>
      </c>
      <c r="U21" s="62">
        <f t="shared" si="16"/>
        <v>187851.5</v>
      </c>
      <c r="V21" s="62">
        <f t="shared" si="17"/>
        <v>44.22</v>
      </c>
      <c r="W21" s="62">
        <f t="shared" si="18"/>
        <v>4427265.5</v>
      </c>
      <c r="X21" s="62">
        <f t="shared" si="19"/>
        <v>1042.2</v>
      </c>
      <c r="Y21" s="64">
        <f t="shared" si="20"/>
        <v>0.896408</v>
      </c>
      <c r="Z21" s="61">
        <f t="shared" si="8"/>
        <v>43</v>
      </c>
      <c r="AA21" s="61"/>
      <c r="AB21" s="62">
        <v>80951660</v>
      </c>
      <c r="AC21" s="62">
        <v>16280700</v>
      </c>
      <c r="AD21" s="62">
        <f t="shared" si="21"/>
        <v>64670960</v>
      </c>
      <c r="AE21" s="102">
        <v>6.43</v>
      </c>
      <c r="AF21" s="62">
        <v>412202</v>
      </c>
      <c r="AG21" s="75">
        <v>12.5</v>
      </c>
      <c r="AH21" s="62">
        <v>801326</v>
      </c>
      <c r="AI21" s="102">
        <v>4.25</v>
      </c>
      <c r="AJ21" s="102">
        <v>12.66</v>
      </c>
      <c r="AK21" s="61">
        <v>5</v>
      </c>
      <c r="AL21" s="62">
        <v>453358</v>
      </c>
      <c r="AM21" s="62">
        <f t="shared" si="22"/>
        <v>1666886</v>
      </c>
      <c r="AN21" s="102">
        <v>0</v>
      </c>
      <c r="AO21" s="62">
        <v>0</v>
      </c>
      <c r="AP21" s="102">
        <v>4.04</v>
      </c>
      <c r="AQ21" s="102">
        <v>9.64</v>
      </c>
      <c r="AR21" s="61">
        <v>3</v>
      </c>
      <c r="AS21" s="62">
        <v>247600</v>
      </c>
      <c r="AT21" s="62">
        <f t="shared" si="23"/>
        <v>247600</v>
      </c>
      <c r="AU21" s="102">
        <f t="shared" si="24"/>
        <v>18.93</v>
      </c>
      <c r="AV21" s="62">
        <f t="shared" si="24"/>
        <v>1213528</v>
      </c>
      <c r="AW21" s="62">
        <f t="shared" si="25"/>
        <v>700958</v>
      </c>
      <c r="AX21" s="62">
        <f t="shared" si="26"/>
        <v>1914486</v>
      </c>
      <c r="AY21" s="380">
        <f t="shared" si="27"/>
        <v>3.829</v>
      </c>
      <c r="AZ21" s="380">
        <f t="shared" si="28"/>
        <v>25.775</v>
      </c>
      <c r="BA21" s="380">
        <f t="shared" si="29"/>
        <v>29.603</v>
      </c>
      <c r="BB21" s="66">
        <v>0.02</v>
      </c>
      <c r="BC21" s="62">
        <v>2324928</v>
      </c>
      <c r="BD21" s="62">
        <v>0</v>
      </c>
      <c r="BE21" s="62">
        <f t="shared" si="30"/>
        <v>2324928</v>
      </c>
      <c r="BF21" s="62">
        <f t="shared" si="31"/>
        <v>116246400</v>
      </c>
      <c r="BG21" s="66">
        <f t="shared" si="32"/>
        <v>0.02</v>
      </c>
      <c r="BH21" s="66">
        <f t="shared" si="33"/>
        <v>0</v>
      </c>
      <c r="BI21" s="62">
        <f t="shared" si="34"/>
        <v>4427265.5</v>
      </c>
    </row>
    <row r="22" spans="2:61" ht="12.75">
      <c r="B22" s="83">
        <v>15</v>
      </c>
      <c r="C22" s="84" t="s">
        <v>17</v>
      </c>
      <c r="D22" s="84">
        <f>'Table 4 Formula'!U22</f>
        <v>5304</v>
      </c>
      <c r="E22" s="85">
        <f t="shared" si="0"/>
        <v>2914278</v>
      </c>
      <c r="F22" s="85">
        <f t="shared" si="9"/>
        <v>549.45</v>
      </c>
      <c r="G22" s="85">
        <f t="shared" si="1"/>
        <v>2819886</v>
      </c>
      <c r="H22" s="85">
        <f t="shared" si="10"/>
        <v>531.65</v>
      </c>
      <c r="I22" s="85">
        <v>195063</v>
      </c>
      <c r="J22" s="85">
        <f t="shared" si="11"/>
        <v>36.78</v>
      </c>
      <c r="K22" s="85">
        <f t="shared" si="12"/>
        <v>5929227</v>
      </c>
      <c r="L22" s="85">
        <f t="shared" si="13"/>
        <v>1117.88</v>
      </c>
      <c r="M22" s="94">
        <f t="shared" si="2"/>
        <v>0.64751335</v>
      </c>
      <c r="N22" s="84">
        <f t="shared" si="3"/>
        <v>43</v>
      </c>
      <c r="O22" s="93">
        <f t="shared" si="4"/>
        <v>16.639</v>
      </c>
      <c r="P22" s="85">
        <f t="shared" si="5"/>
        <v>1179535</v>
      </c>
      <c r="Q22" s="85">
        <f t="shared" si="14"/>
        <v>222.39</v>
      </c>
      <c r="R22" s="90">
        <f t="shared" si="6"/>
        <v>0.02</v>
      </c>
      <c r="S22" s="85">
        <f t="shared" si="7"/>
        <v>3133207</v>
      </c>
      <c r="T22" s="85">
        <f t="shared" si="15"/>
        <v>590.7253016591252</v>
      </c>
      <c r="U22" s="85">
        <f t="shared" si="16"/>
        <v>195063</v>
      </c>
      <c r="V22" s="85">
        <f t="shared" si="17"/>
        <v>36.78</v>
      </c>
      <c r="W22" s="85">
        <f t="shared" si="18"/>
        <v>4507805</v>
      </c>
      <c r="X22" s="85">
        <f t="shared" si="19"/>
        <v>849.89</v>
      </c>
      <c r="Y22" s="88">
        <f t="shared" si="20"/>
        <v>0.760269</v>
      </c>
      <c r="Z22" s="84">
        <f t="shared" si="8"/>
        <v>54</v>
      </c>
      <c r="AA22" s="84"/>
      <c r="AB22" s="85">
        <v>92634570</v>
      </c>
      <c r="AC22" s="85">
        <v>21744820</v>
      </c>
      <c r="AD22" s="85">
        <f t="shared" si="21"/>
        <v>70889750</v>
      </c>
      <c r="AE22" s="103">
        <v>3.1</v>
      </c>
      <c r="AF22" s="85">
        <v>131859</v>
      </c>
      <c r="AG22" s="93">
        <v>24.58</v>
      </c>
      <c r="AH22" s="85">
        <v>1047676</v>
      </c>
      <c r="AI22" s="103">
        <v>0</v>
      </c>
      <c r="AJ22" s="103">
        <v>0</v>
      </c>
      <c r="AK22" s="84">
        <v>0</v>
      </c>
      <c r="AL22" s="85">
        <v>0</v>
      </c>
      <c r="AM22" s="85">
        <f t="shared" si="22"/>
        <v>1179535</v>
      </c>
      <c r="AN22" s="103">
        <v>0</v>
      </c>
      <c r="AO22" s="85">
        <v>0</v>
      </c>
      <c r="AP22" s="103">
        <v>0</v>
      </c>
      <c r="AQ22" s="103">
        <v>0</v>
      </c>
      <c r="AR22" s="84">
        <v>0</v>
      </c>
      <c r="AS22" s="85">
        <v>0</v>
      </c>
      <c r="AT22" s="85">
        <f t="shared" si="23"/>
        <v>0</v>
      </c>
      <c r="AU22" s="103">
        <f t="shared" si="24"/>
        <v>27.68</v>
      </c>
      <c r="AV22" s="85">
        <f t="shared" si="24"/>
        <v>1179535</v>
      </c>
      <c r="AW22" s="85">
        <f t="shared" si="25"/>
        <v>0</v>
      </c>
      <c r="AX22" s="85">
        <f t="shared" si="26"/>
        <v>1179535</v>
      </c>
      <c r="AY22" s="381">
        <f t="shared" si="27"/>
        <v>0</v>
      </c>
      <c r="AZ22" s="381">
        <f t="shared" si="28"/>
        <v>16.639</v>
      </c>
      <c r="BA22" s="381">
        <f t="shared" si="29"/>
        <v>16.639</v>
      </c>
      <c r="BB22" s="90">
        <v>0.02</v>
      </c>
      <c r="BC22" s="85">
        <v>3133207</v>
      </c>
      <c r="BD22" s="85">
        <v>0</v>
      </c>
      <c r="BE22" s="85">
        <f t="shared" si="30"/>
        <v>3133207</v>
      </c>
      <c r="BF22" s="85">
        <f t="shared" si="31"/>
        <v>156660350</v>
      </c>
      <c r="BG22" s="90">
        <f t="shared" si="32"/>
        <v>0.02</v>
      </c>
      <c r="BH22" s="90">
        <f t="shared" si="33"/>
        <v>0</v>
      </c>
      <c r="BI22" s="85">
        <f t="shared" si="34"/>
        <v>4507805</v>
      </c>
    </row>
    <row r="23" spans="2:61" ht="12.75">
      <c r="B23" s="60">
        <v>16</v>
      </c>
      <c r="C23" s="61" t="s">
        <v>18</v>
      </c>
      <c r="D23" s="61">
        <f>'Table 4 Formula'!U23</f>
        <v>7102</v>
      </c>
      <c r="E23" s="62">
        <f t="shared" si="0"/>
        <v>7020554</v>
      </c>
      <c r="F23" s="62">
        <f t="shared" si="9"/>
        <v>988.53</v>
      </c>
      <c r="G23" s="62">
        <f t="shared" si="1"/>
        <v>4472695</v>
      </c>
      <c r="H23" s="62">
        <f t="shared" si="10"/>
        <v>629.78</v>
      </c>
      <c r="I23" s="62">
        <v>561099</v>
      </c>
      <c r="J23" s="62">
        <f t="shared" si="11"/>
        <v>79.01</v>
      </c>
      <c r="K23" s="62">
        <f t="shared" si="12"/>
        <v>12054348</v>
      </c>
      <c r="L23" s="62">
        <f t="shared" si="13"/>
        <v>1697.32</v>
      </c>
      <c r="M23" s="76">
        <f t="shared" si="2"/>
        <v>0.98314431</v>
      </c>
      <c r="N23" s="61">
        <f t="shared" si="3"/>
        <v>18</v>
      </c>
      <c r="O23" s="75">
        <f t="shared" si="4"/>
        <v>56.698</v>
      </c>
      <c r="P23" s="62">
        <f t="shared" si="5"/>
        <v>9682607</v>
      </c>
      <c r="Q23" s="62">
        <f t="shared" si="14"/>
        <v>1363.36</v>
      </c>
      <c r="R23" s="66">
        <f t="shared" si="6"/>
        <v>0.02</v>
      </c>
      <c r="S23" s="62">
        <f t="shared" si="7"/>
        <v>4969661</v>
      </c>
      <c r="T23" s="62">
        <f t="shared" si="15"/>
        <v>699.7551393973529</v>
      </c>
      <c r="U23" s="62">
        <f t="shared" si="16"/>
        <v>561099</v>
      </c>
      <c r="V23" s="62">
        <f t="shared" si="17"/>
        <v>79.01</v>
      </c>
      <c r="W23" s="62">
        <f t="shared" si="18"/>
        <v>15213367</v>
      </c>
      <c r="X23" s="62">
        <f t="shared" si="19"/>
        <v>2142.12</v>
      </c>
      <c r="Y23" s="64">
        <f t="shared" si="20"/>
        <v>1.26206</v>
      </c>
      <c r="Z23" s="61">
        <f t="shared" si="8"/>
        <v>5</v>
      </c>
      <c r="AA23" s="61"/>
      <c r="AB23" s="62">
        <v>197987842</v>
      </c>
      <c r="AC23" s="62">
        <v>27213002</v>
      </c>
      <c r="AD23" s="62">
        <f t="shared" si="21"/>
        <v>170774840</v>
      </c>
      <c r="AE23" s="102">
        <v>4.3</v>
      </c>
      <c r="AF23" s="62">
        <v>736909</v>
      </c>
      <c r="AG23" s="75">
        <v>40</v>
      </c>
      <c r="AH23" s="62">
        <v>6850573</v>
      </c>
      <c r="AI23" s="102">
        <v>0</v>
      </c>
      <c r="AJ23" s="102">
        <v>0</v>
      </c>
      <c r="AK23" s="61">
        <v>0</v>
      </c>
      <c r="AL23" s="62">
        <v>0</v>
      </c>
      <c r="AM23" s="62">
        <f t="shared" si="22"/>
        <v>7587482</v>
      </c>
      <c r="AN23" s="102">
        <v>0</v>
      </c>
      <c r="AO23" s="62">
        <v>0</v>
      </c>
      <c r="AP23" s="102">
        <v>8</v>
      </c>
      <c r="AQ23" s="102">
        <v>33</v>
      </c>
      <c r="AR23" s="61">
        <v>5</v>
      </c>
      <c r="AS23" s="62">
        <v>2095125</v>
      </c>
      <c r="AT23" s="62">
        <f t="shared" si="23"/>
        <v>2095125</v>
      </c>
      <c r="AU23" s="102">
        <f t="shared" si="24"/>
        <v>44.3</v>
      </c>
      <c r="AV23" s="62">
        <f t="shared" si="24"/>
        <v>7587482</v>
      </c>
      <c r="AW23" s="62">
        <f t="shared" si="25"/>
        <v>2095125</v>
      </c>
      <c r="AX23" s="62">
        <f t="shared" si="26"/>
        <v>9682607</v>
      </c>
      <c r="AY23" s="380">
        <f t="shared" si="27"/>
        <v>12.268</v>
      </c>
      <c r="AZ23" s="380">
        <f t="shared" si="28"/>
        <v>44.43</v>
      </c>
      <c r="BA23" s="380">
        <f t="shared" si="29"/>
        <v>56.698</v>
      </c>
      <c r="BB23" s="66">
        <v>0.02</v>
      </c>
      <c r="BC23" s="62">
        <v>3992749</v>
      </c>
      <c r="BD23" s="62">
        <v>976912</v>
      </c>
      <c r="BE23" s="62">
        <f t="shared" si="30"/>
        <v>4969661</v>
      </c>
      <c r="BF23" s="62">
        <f t="shared" si="31"/>
        <v>248483050</v>
      </c>
      <c r="BG23" s="66">
        <f t="shared" si="32"/>
        <v>0.0161</v>
      </c>
      <c r="BH23" s="66">
        <f t="shared" si="33"/>
        <v>0.0039</v>
      </c>
      <c r="BI23" s="62">
        <f t="shared" si="34"/>
        <v>15213367</v>
      </c>
    </row>
    <row r="24" spans="2:61" ht="12.75">
      <c r="B24" s="60">
        <v>17</v>
      </c>
      <c r="C24" s="61" t="s">
        <v>19</v>
      </c>
      <c r="D24" s="61">
        <f>'Table 4 Formula'!U24</f>
        <v>69323</v>
      </c>
      <c r="E24" s="62">
        <f t="shared" si="0"/>
        <v>67953646</v>
      </c>
      <c r="F24" s="62">
        <f t="shared" si="9"/>
        <v>980.25</v>
      </c>
      <c r="G24" s="62">
        <f t="shared" si="1"/>
        <v>111031230</v>
      </c>
      <c r="H24" s="62">
        <f t="shared" si="10"/>
        <v>1601.65</v>
      </c>
      <c r="I24" s="62">
        <v>3849625.5</v>
      </c>
      <c r="J24" s="62">
        <f t="shared" si="11"/>
        <v>55.53</v>
      </c>
      <c r="K24" s="62">
        <f t="shared" si="12"/>
        <v>182834501.5</v>
      </c>
      <c r="L24" s="62">
        <f t="shared" si="13"/>
        <v>2637.43</v>
      </c>
      <c r="M24" s="76">
        <f t="shared" si="2"/>
        <v>1.52768735</v>
      </c>
      <c r="N24" s="61">
        <f t="shared" si="3"/>
        <v>7</v>
      </c>
      <c r="O24" s="75">
        <f t="shared" si="4"/>
        <v>42.89</v>
      </c>
      <c r="P24" s="62">
        <f t="shared" si="5"/>
        <v>70895725</v>
      </c>
      <c r="Q24" s="62">
        <f t="shared" si="14"/>
        <v>1022.69</v>
      </c>
      <c r="R24" s="66">
        <f t="shared" si="6"/>
        <v>0.0194</v>
      </c>
      <c r="S24" s="62">
        <f t="shared" si="7"/>
        <v>119666992</v>
      </c>
      <c r="T24" s="62">
        <f t="shared" si="15"/>
        <v>1726.2235044646077</v>
      </c>
      <c r="U24" s="62">
        <f t="shared" si="16"/>
        <v>3849625.5</v>
      </c>
      <c r="V24" s="62">
        <f t="shared" si="17"/>
        <v>55.53</v>
      </c>
      <c r="W24" s="62">
        <f t="shared" si="18"/>
        <v>194412342.5</v>
      </c>
      <c r="X24" s="62">
        <f t="shared" si="19"/>
        <v>2804.44</v>
      </c>
      <c r="Y24" s="64">
        <f t="shared" si="20"/>
        <v>1.063323</v>
      </c>
      <c r="Z24" s="61">
        <f t="shared" si="8"/>
        <v>21</v>
      </c>
      <c r="AA24" s="61"/>
      <c r="AB24" s="62">
        <v>2196149260</v>
      </c>
      <c r="AC24" s="62">
        <v>543178050</v>
      </c>
      <c r="AD24" s="62">
        <f t="shared" si="21"/>
        <v>1652971210</v>
      </c>
      <c r="AE24" s="102">
        <v>5.25</v>
      </c>
      <c r="AF24" s="62">
        <v>8566228</v>
      </c>
      <c r="AG24" s="75">
        <v>38.2</v>
      </c>
      <c r="AH24" s="62">
        <v>62329497</v>
      </c>
      <c r="AI24" s="102">
        <v>0</v>
      </c>
      <c r="AJ24" s="102">
        <v>0</v>
      </c>
      <c r="AK24" s="61">
        <v>0</v>
      </c>
      <c r="AL24" s="62">
        <v>0</v>
      </c>
      <c r="AM24" s="62">
        <f t="shared" si="22"/>
        <v>70895725</v>
      </c>
      <c r="AN24" s="102">
        <v>0</v>
      </c>
      <c r="AO24" s="62">
        <v>0</v>
      </c>
      <c r="AP24" s="102">
        <v>0</v>
      </c>
      <c r="AQ24" s="102">
        <v>0</v>
      </c>
      <c r="AR24" s="61">
        <v>0</v>
      </c>
      <c r="AS24" s="62">
        <v>0</v>
      </c>
      <c r="AT24" s="62">
        <f t="shared" si="23"/>
        <v>0</v>
      </c>
      <c r="AU24" s="102">
        <f t="shared" si="24"/>
        <v>43.45</v>
      </c>
      <c r="AV24" s="62">
        <f t="shared" si="24"/>
        <v>70895725</v>
      </c>
      <c r="AW24" s="62">
        <f t="shared" si="25"/>
        <v>0</v>
      </c>
      <c r="AX24" s="62">
        <f t="shared" si="26"/>
        <v>70895725</v>
      </c>
      <c r="AY24" s="380">
        <f t="shared" si="27"/>
        <v>0</v>
      </c>
      <c r="AZ24" s="380">
        <f t="shared" si="28"/>
        <v>42.89</v>
      </c>
      <c r="BA24" s="380">
        <f t="shared" si="29"/>
        <v>42.89</v>
      </c>
      <c r="BB24" s="66">
        <v>0.0194</v>
      </c>
      <c r="BC24" s="62">
        <v>119666992</v>
      </c>
      <c r="BD24" s="62">
        <v>0</v>
      </c>
      <c r="BE24" s="62">
        <f t="shared" si="30"/>
        <v>119666992</v>
      </c>
      <c r="BF24" s="62">
        <f t="shared" si="31"/>
        <v>6168401649</v>
      </c>
      <c r="BG24" s="66">
        <f t="shared" si="32"/>
        <v>0.0194</v>
      </c>
      <c r="BH24" s="66">
        <f t="shared" si="33"/>
        <v>0</v>
      </c>
      <c r="BI24" s="62">
        <f t="shared" si="34"/>
        <v>194412342.5</v>
      </c>
    </row>
    <row r="25" spans="2:61" ht="12.75">
      <c r="B25" s="60">
        <v>18</v>
      </c>
      <c r="C25" s="61" t="s">
        <v>20</v>
      </c>
      <c r="D25" s="61">
        <f>'Table 4 Formula'!U25</f>
        <v>2677</v>
      </c>
      <c r="E25" s="62">
        <f t="shared" si="0"/>
        <v>1125981</v>
      </c>
      <c r="F25" s="62">
        <f t="shared" si="9"/>
        <v>420.61</v>
      </c>
      <c r="G25" s="62">
        <f t="shared" si="1"/>
        <v>878642</v>
      </c>
      <c r="H25" s="62">
        <f t="shared" si="10"/>
        <v>328.22</v>
      </c>
      <c r="I25" s="62">
        <v>99820.5</v>
      </c>
      <c r="J25" s="62">
        <f t="shared" si="11"/>
        <v>37.29</v>
      </c>
      <c r="K25" s="62">
        <f t="shared" si="12"/>
        <v>2104443.5</v>
      </c>
      <c r="L25" s="62">
        <f t="shared" si="13"/>
        <v>786.12</v>
      </c>
      <c r="M25" s="76">
        <f t="shared" si="2"/>
        <v>0.4553469</v>
      </c>
      <c r="N25" s="61">
        <f t="shared" si="3"/>
        <v>62</v>
      </c>
      <c r="O25" s="75">
        <f t="shared" si="4"/>
        <v>10.324</v>
      </c>
      <c r="P25" s="62">
        <f t="shared" si="5"/>
        <v>282772</v>
      </c>
      <c r="Q25" s="62">
        <f t="shared" si="14"/>
        <v>105.63</v>
      </c>
      <c r="R25" s="66">
        <f t="shared" si="6"/>
        <v>0.03</v>
      </c>
      <c r="S25" s="62">
        <f t="shared" si="7"/>
        <v>1464404</v>
      </c>
      <c r="T25" s="62">
        <f t="shared" si="15"/>
        <v>547.0317519611506</v>
      </c>
      <c r="U25" s="62">
        <f t="shared" si="16"/>
        <v>99820.5</v>
      </c>
      <c r="V25" s="62">
        <f t="shared" si="17"/>
        <v>37.29</v>
      </c>
      <c r="W25" s="62">
        <f t="shared" si="18"/>
        <v>1846996.5</v>
      </c>
      <c r="X25" s="62">
        <f t="shared" si="19"/>
        <v>689.95</v>
      </c>
      <c r="Y25" s="64">
        <f t="shared" si="20"/>
        <v>0.877665</v>
      </c>
      <c r="Z25" s="61">
        <f t="shared" si="8"/>
        <v>45</v>
      </c>
      <c r="AA25" s="61"/>
      <c r="AB25" s="62">
        <v>33075376</v>
      </c>
      <c r="AC25" s="62">
        <v>5685901</v>
      </c>
      <c r="AD25" s="62">
        <f t="shared" si="21"/>
        <v>27389475</v>
      </c>
      <c r="AE25" s="102">
        <v>5.22</v>
      </c>
      <c r="AF25" s="62">
        <v>138806</v>
      </c>
      <c r="AG25" s="75">
        <v>5.58</v>
      </c>
      <c r="AH25" s="62">
        <v>143966</v>
      </c>
      <c r="AI25" s="102">
        <v>0</v>
      </c>
      <c r="AJ25" s="102">
        <v>0</v>
      </c>
      <c r="AK25" s="61">
        <v>0</v>
      </c>
      <c r="AL25" s="62">
        <v>0</v>
      </c>
      <c r="AM25" s="62">
        <f t="shared" si="22"/>
        <v>282772</v>
      </c>
      <c r="AN25" s="102">
        <v>0</v>
      </c>
      <c r="AO25" s="62">
        <v>0</v>
      </c>
      <c r="AP25" s="102">
        <v>0</v>
      </c>
      <c r="AQ25" s="102">
        <v>0</v>
      </c>
      <c r="AR25" s="61">
        <v>0</v>
      </c>
      <c r="AS25" s="62">
        <v>0</v>
      </c>
      <c r="AT25" s="62">
        <f t="shared" si="23"/>
        <v>0</v>
      </c>
      <c r="AU25" s="102">
        <f t="shared" si="24"/>
        <v>10.8</v>
      </c>
      <c r="AV25" s="62">
        <f t="shared" si="24"/>
        <v>282772</v>
      </c>
      <c r="AW25" s="62">
        <f t="shared" si="25"/>
        <v>0</v>
      </c>
      <c r="AX25" s="62">
        <f t="shared" si="26"/>
        <v>282772</v>
      </c>
      <c r="AY25" s="380">
        <f t="shared" si="27"/>
        <v>0</v>
      </c>
      <c r="AZ25" s="380">
        <f t="shared" si="28"/>
        <v>10.324</v>
      </c>
      <c r="BA25" s="380">
        <f t="shared" si="29"/>
        <v>10.324</v>
      </c>
      <c r="BB25" s="66">
        <v>0.03</v>
      </c>
      <c r="BC25" s="62">
        <v>1464404</v>
      </c>
      <c r="BD25" s="62">
        <v>0</v>
      </c>
      <c r="BE25" s="62">
        <f t="shared" si="30"/>
        <v>1464404</v>
      </c>
      <c r="BF25" s="62">
        <f t="shared" si="31"/>
        <v>48813467</v>
      </c>
      <c r="BG25" s="66">
        <f t="shared" si="32"/>
        <v>0.03</v>
      </c>
      <c r="BH25" s="66">
        <f t="shared" si="33"/>
        <v>0</v>
      </c>
      <c r="BI25" s="62">
        <f t="shared" si="34"/>
        <v>1846996.5</v>
      </c>
    </row>
    <row r="26" spans="2:61" ht="12.75">
      <c r="B26" s="60">
        <v>19</v>
      </c>
      <c r="C26" s="61" t="s">
        <v>21</v>
      </c>
      <c r="D26" s="61">
        <f>'Table 4 Formula'!U26</f>
        <v>3744</v>
      </c>
      <c r="E26" s="62">
        <f t="shared" si="0"/>
        <v>1968920</v>
      </c>
      <c r="F26" s="62">
        <f t="shared" si="9"/>
        <v>525.89</v>
      </c>
      <c r="G26" s="62">
        <f t="shared" si="1"/>
        <v>1923892</v>
      </c>
      <c r="H26" s="62">
        <f t="shared" si="10"/>
        <v>513.86</v>
      </c>
      <c r="I26" s="62">
        <v>79048</v>
      </c>
      <c r="J26" s="62">
        <f t="shared" si="11"/>
        <v>21.11</v>
      </c>
      <c r="K26" s="62">
        <f t="shared" si="12"/>
        <v>3971860</v>
      </c>
      <c r="L26" s="62">
        <f t="shared" si="13"/>
        <v>1060.86</v>
      </c>
      <c r="M26" s="76">
        <f t="shared" si="2"/>
        <v>0.61448547</v>
      </c>
      <c r="N26" s="61">
        <f t="shared" si="3"/>
        <v>48</v>
      </c>
      <c r="O26" s="75">
        <f t="shared" si="4"/>
        <v>37.678</v>
      </c>
      <c r="P26" s="62">
        <f t="shared" si="5"/>
        <v>1804545</v>
      </c>
      <c r="Q26" s="62">
        <f t="shared" si="14"/>
        <v>481.98</v>
      </c>
      <c r="R26" s="66">
        <f t="shared" si="6"/>
        <v>0.02</v>
      </c>
      <c r="S26" s="62">
        <f t="shared" si="7"/>
        <v>2137658</v>
      </c>
      <c r="T26" s="62">
        <f t="shared" si="15"/>
        <v>570.9556623931624</v>
      </c>
      <c r="U26" s="62">
        <f t="shared" si="16"/>
        <v>79048</v>
      </c>
      <c r="V26" s="62">
        <f t="shared" si="17"/>
        <v>21.11</v>
      </c>
      <c r="W26" s="62">
        <f t="shared" si="18"/>
        <v>4021251</v>
      </c>
      <c r="X26" s="62">
        <f t="shared" si="19"/>
        <v>1074.05</v>
      </c>
      <c r="Y26" s="64">
        <f t="shared" si="20"/>
        <v>1.012433</v>
      </c>
      <c r="Z26" s="61">
        <f t="shared" si="8"/>
        <v>28</v>
      </c>
      <c r="AA26" s="61"/>
      <c r="AB26" s="62">
        <v>68114580</v>
      </c>
      <c r="AC26" s="62">
        <v>20220630</v>
      </c>
      <c r="AD26" s="62">
        <f t="shared" si="21"/>
        <v>47893950</v>
      </c>
      <c r="AE26" s="102">
        <v>3.34</v>
      </c>
      <c r="AF26" s="62">
        <v>158567</v>
      </c>
      <c r="AG26" s="75">
        <v>15.51</v>
      </c>
      <c r="AH26" s="62">
        <v>736342</v>
      </c>
      <c r="AI26" s="102">
        <v>0</v>
      </c>
      <c r="AJ26" s="102">
        <v>0</v>
      </c>
      <c r="AK26" s="61">
        <v>0</v>
      </c>
      <c r="AL26" s="62">
        <v>0</v>
      </c>
      <c r="AM26" s="62">
        <f t="shared" si="22"/>
        <v>894909</v>
      </c>
      <c r="AN26" s="102">
        <v>19.16</v>
      </c>
      <c r="AO26" s="62">
        <v>909636</v>
      </c>
      <c r="AP26" s="102">
        <v>0</v>
      </c>
      <c r="AQ26" s="102">
        <v>0</v>
      </c>
      <c r="AR26" s="61">
        <v>0</v>
      </c>
      <c r="AS26" s="62">
        <v>0</v>
      </c>
      <c r="AT26" s="62">
        <f t="shared" si="23"/>
        <v>909636</v>
      </c>
      <c r="AU26" s="102">
        <f t="shared" si="24"/>
        <v>38.010000000000005</v>
      </c>
      <c r="AV26" s="62">
        <f t="shared" si="24"/>
        <v>1804545</v>
      </c>
      <c r="AW26" s="62">
        <f t="shared" si="25"/>
        <v>0</v>
      </c>
      <c r="AX26" s="62">
        <f t="shared" si="26"/>
        <v>1804545</v>
      </c>
      <c r="AY26" s="380">
        <f t="shared" si="27"/>
        <v>18.993</v>
      </c>
      <c r="AZ26" s="380">
        <f t="shared" si="28"/>
        <v>18.685</v>
      </c>
      <c r="BA26" s="380">
        <f t="shared" si="29"/>
        <v>37.678</v>
      </c>
      <c r="BB26" s="66">
        <v>0.02</v>
      </c>
      <c r="BC26" s="62">
        <v>1068829</v>
      </c>
      <c r="BD26" s="62">
        <v>1068829</v>
      </c>
      <c r="BE26" s="62">
        <f t="shared" si="30"/>
        <v>2137658</v>
      </c>
      <c r="BF26" s="62">
        <f t="shared" si="31"/>
        <v>106882900</v>
      </c>
      <c r="BG26" s="66">
        <f t="shared" si="32"/>
        <v>0.01</v>
      </c>
      <c r="BH26" s="66">
        <f t="shared" si="33"/>
        <v>0.01</v>
      </c>
      <c r="BI26" s="62">
        <f t="shared" si="34"/>
        <v>4021251</v>
      </c>
    </row>
    <row r="27" spans="2:61" ht="12.75">
      <c r="B27" s="83">
        <v>20</v>
      </c>
      <c r="C27" s="84" t="s">
        <v>22</v>
      </c>
      <c r="D27" s="84">
        <f>'Table 4 Formula'!U27</f>
        <v>8877</v>
      </c>
      <c r="E27" s="85">
        <f t="shared" si="0"/>
        <v>4204310</v>
      </c>
      <c r="F27" s="85">
        <f t="shared" si="9"/>
        <v>473.62</v>
      </c>
      <c r="G27" s="85">
        <f t="shared" si="1"/>
        <v>5742403</v>
      </c>
      <c r="H27" s="85">
        <f t="shared" si="10"/>
        <v>646.89</v>
      </c>
      <c r="I27" s="85">
        <v>237578</v>
      </c>
      <c r="J27" s="85">
        <f t="shared" si="11"/>
        <v>26.76</v>
      </c>
      <c r="K27" s="85">
        <f t="shared" si="12"/>
        <v>10184291</v>
      </c>
      <c r="L27" s="85">
        <f t="shared" si="13"/>
        <v>1147.27</v>
      </c>
      <c r="M27" s="94">
        <f t="shared" si="2"/>
        <v>0.66453702</v>
      </c>
      <c r="N27" s="84">
        <f t="shared" si="3"/>
        <v>39</v>
      </c>
      <c r="O27" s="93">
        <f t="shared" si="4"/>
        <v>31.587</v>
      </c>
      <c r="P27" s="85">
        <f t="shared" si="5"/>
        <v>3230367</v>
      </c>
      <c r="Q27" s="85">
        <f t="shared" si="14"/>
        <v>363.9</v>
      </c>
      <c r="R27" s="90">
        <f t="shared" si="6"/>
        <v>0.01</v>
      </c>
      <c r="S27" s="85">
        <f t="shared" si="7"/>
        <v>3190224</v>
      </c>
      <c r="T27" s="85">
        <f t="shared" si="15"/>
        <v>359.3808719161879</v>
      </c>
      <c r="U27" s="85">
        <f t="shared" si="16"/>
        <v>237578</v>
      </c>
      <c r="V27" s="85">
        <f t="shared" si="17"/>
        <v>26.76</v>
      </c>
      <c r="W27" s="85">
        <f t="shared" si="18"/>
        <v>6658169</v>
      </c>
      <c r="X27" s="85">
        <f t="shared" si="19"/>
        <v>750.05</v>
      </c>
      <c r="Y27" s="88">
        <f t="shared" si="20"/>
        <v>0.653769</v>
      </c>
      <c r="Z27" s="84">
        <f t="shared" si="8"/>
        <v>60</v>
      </c>
      <c r="AA27" s="84"/>
      <c r="AB27" s="85">
        <v>134775850</v>
      </c>
      <c r="AC27" s="85">
        <v>32506085</v>
      </c>
      <c r="AD27" s="85">
        <f t="shared" si="21"/>
        <v>102269765</v>
      </c>
      <c r="AE27" s="103">
        <v>4.46</v>
      </c>
      <c r="AF27" s="85">
        <v>458978</v>
      </c>
      <c r="AG27" s="93">
        <v>9.93</v>
      </c>
      <c r="AH27" s="85">
        <v>1021892</v>
      </c>
      <c r="AI27" s="103">
        <v>2</v>
      </c>
      <c r="AJ27" s="103">
        <v>11.93</v>
      </c>
      <c r="AK27" s="84">
        <v>3</v>
      </c>
      <c r="AL27" s="85">
        <v>1385543</v>
      </c>
      <c r="AM27" s="85">
        <f t="shared" si="22"/>
        <v>2866413</v>
      </c>
      <c r="AN27" s="103">
        <v>0</v>
      </c>
      <c r="AO27" s="85">
        <v>0</v>
      </c>
      <c r="AP27" s="103">
        <v>7</v>
      </c>
      <c r="AQ27" s="103">
        <v>16.25</v>
      </c>
      <c r="AR27" s="84">
        <v>2</v>
      </c>
      <c r="AS27" s="85">
        <v>363954</v>
      </c>
      <c r="AT27" s="85">
        <f t="shared" si="23"/>
        <v>363954</v>
      </c>
      <c r="AU27" s="103">
        <f t="shared" si="24"/>
        <v>14.39</v>
      </c>
      <c r="AV27" s="85">
        <f t="shared" si="24"/>
        <v>1480870</v>
      </c>
      <c r="AW27" s="85">
        <f t="shared" si="25"/>
        <v>1749497</v>
      </c>
      <c r="AX27" s="85">
        <f t="shared" si="26"/>
        <v>3230367</v>
      </c>
      <c r="AY27" s="381">
        <f t="shared" si="27"/>
        <v>3.559</v>
      </c>
      <c r="AZ27" s="381">
        <f t="shared" si="28"/>
        <v>28.028</v>
      </c>
      <c r="BA27" s="381">
        <f t="shared" si="29"/>
        <v>31.587</v>
      </c>
      <c r="BB27" s="90">
        <v>0.01</v>
      </c>
      <c r="BC27" s="85">
        <v>3190224</v>
      </c>
      <c r="BD27" s="85">
        <v>0</v>
      </c>
      <c r="BE27" s="85">
        <f t="shared" si="30"/>
        <v>3190224</v>
      </c>
      <c r="BF27" s="85">
        <f t="shared" si="31"/>
        <v>319022400</v>
      </c>
      <c r="BG27" s="90">
        <f t="shared" si="32"/>
        <v>0.01</v>
      </c>
      <c r="BH27" s="90">
        <f t="shared" si="33"/>
        <v>0</v>
      </c>
      <c r="BI27" s="85">
        <f t="shared" si="34"/>
        <v>6658169</v>
      </c>
    </row>
    <row r="28" spans="2:61" ht="12.75">
      <c r="B28" s="60">
        <v>21</v>
      </c>
      <c r="C28" s="61" t="s">
        <v>23</v>
      </c>
      <c r="D28" s="61">
        <f>'Table 4 Formula'!U28</f>
        <v>5424</v>
      </c>
      <c r="E28" s="62">
        <f t="shared" si="0"/>
        <v>1708673</v>
      </c>
      <c r="F28" s="62">
        <f t="shared" si="9"/>
        <v>315.02</v>
      </c>
      <c r="G28" s="62">
        <f t="shared" si="1"/>
        <v>3104158</v>
      </c>
      <c r="H28" s="62">
        <f t="shared" si="10"/>
        <v>572.3</v>
      </c>
      <c r="I28" s="62">
        <v>71544</v>
      </c>
      <c r="J28" s="62">
        <f t="shared" si="11"/>
        <v>13.19</v>
      </c>
      <c r="K28" s="62">
        <f t="shared" si="12"/>
        <v>4884375</v>
      </c>
      <c r="L28" s="62">
        <f t="shared" si="13"/>
        <v>900.51</v>
      </c>
      <c r="M28" s="76">
        <f t="shared" si="2"/>
        <v>0.5216054</v>
      </c>
      <c r="N28" s="61">
        <f t="shared" si="3"/>
        <v>56</v>
      </c>
      <c r="O28" s="75">
        <f t="shared" si="4"/>
        <v>12.964</v>
      </c>
      <c r="P28" s="62">
        <f t="shared" si="5"/>
        <v>538833</v>
      </c>
      <c r="Q28" s="62">
        <f t="shared" si="14"/>
        <v>99.34</v>
      </c>
      <c r="R28" s="66">
        <f t="shared" si="6"/>
        <v>0.015</v>
      </c>
      <c r="S28" s="62">
        <f t="shared" si="7"/>
        <v>2586798</v>
      </c>
      <c r="T28" s="62">
        <f t="shared" si="15"/>
        <v>476.9170353982301</v>
      </c>
      <c r="U28" s="62">
        <f t="shared" si="16"/>
        <v>71544</v>
      </c>
      <c r="V28" s="62">
        <f t="shared" si="17"/>
        <v>13.19</v>
      </c>
      <c r="W28" s="62">
        <f t="shared" si="18"/>
        <v>3197175</v>
      </c>
      <c r="X28" s="62">
        <f t="shared" si="19"/>
        <v>589.45</v>
      </c>
      <c r="Y28" s="64">
        <f t="shared" si="20"/>
        <v>0.654574</v>
      </c>
      <c r="Z28" s="61">
        <f t="shared" si="8"/>
        <v>59</v>
      </c>
      <c r="AA28" s="61"/>
      <c r="AB28" s="62">
        <v>63073271</v>
      </c>
      <c r="AC28" s="62">
        <v>21509830</v>
      </c>
      <c r="AD28" s="62">
        <f t="shared" si="21"/>
        <v>41563441</v>
      </c>
      <c r="AE28" s="102">
        <v>4.1</v>
      </c>
      <c r="AF28" s="62">
        <v>161922</v>
      </c>
      <c r="AG28" s="75">
        <v>9.07</v>
      </c>
      <c r="AH28" s="62">
        <v>356221</v>
      </c>
      <c r="AI28" s="102">
        <v>0</v>
      </c>
      <c r="AJ28" s="102">
        <v>0</v>
      </c>
      <c r="AK28" s="61">
        <v>1</v>
      </c>
      <c r="AL28" s="62">
        <v>20690</v>
      </c>
      <c r="AM28" s="62">
        <f t="shared" si="22"/>
        <v>538833</v>
      </c>
      <c r="AN28" s="102">
        <v>0</v>
      </c>
      <c r="AO28" s="62">
        <v>0</v>
      </c>
      <c r="AP28" s="102">
        <v>0</v>
      </c>
      <c r="AQ28" s="102">
        <v>0</v>
      </c>
      <c r="AR28" s="61">
        <v>0</v>
      </c>
      <c r="AS28" s="62">
        <v>0</v>
      </c>
      <c r="AT28" s="62">
        <f t="shared" si="23"/>
        <v>0</v>
      </c>
      <c r="AU28" s="102">
        <f t="shared" si="24"/>
        <v>13.17</v>
      </c>
      <c r="AV28" s="62">
        <f t="shared" si="24"/>
        <v>518143</v>
      </c>
      <c r="AW28" s="62">
        <f t="shared" si="25"/>
        <v>20690</v>
      </c>
      <c r="AX28" s="62">
        <f t="shared" si="26"/>
        <v>538833</v>
      </c>
      <c r="AY28" s="380">
        <f t="shared" si="27"/>
        <v>0</v>
      </c>
      <c r="AZ28" s="380">
        <f t="shared" si="28"/>
        <v>12.964</v>
      </c>
      <c r="BA28" s="380">
        <f t="shared" si="29"/>
        <v>12.964</v>
      </c>
      <c r="BB28" s="66">
        <v>0.015</v>
      </c>
      <c r="BC28" s="62">
        <v>2586798</v>
      </c>
      <c r="BD28" s="62">
        <v>0</v>
      </c>
      <c r="BE28" s="62">
        <f t="shared" si="30"/>
        <v>2586798</v>
      </c>
      <c r="BF28" s="62">
        <f t="shared" si="31"/>
        <v>172453200</v>
      </c>
      <c r="BG28" s="66">
        <f t="shared" si="32"/>
        <v>0.015</v>
      </c>
      <c r="BH28" s="66">
        <f t="shared" si="33"/>
        <v>0</v>
      </c>
      <c r="BI28" s="62">
        <f t="shared" si="34"/>
        <v>3197175</v>
      </c>
    </row>
    <row r="29" spans="2:61" ht="12.75">
      <c r="B29" s="60">
        <v>22</v>
      </c>
      <c r="C29" s="61" t="s">
        <v>24</v>
      </c>
      <c r="D29" s="61">
        <f>'Table 4 Formula'!U29</f>
        <v>5137</v>
      </c>
      <c r="E29" s="62">
        <f t="shared" si="0"/>
        <v>1104844</v>
      </c>
      <c r="F29" s="62">
        <f t="shared" si="9"/>
        <v>215.08</v>
      </c>
      <c r="G29" s="62">
        <f t="shared" si="1"/>
        <v>1494153</v>
      </c>
      <c r="H29" s="62">
        <f t="shared" si="10"/>
        <v>290.86</v>
      </c>
      <c r="I29" s="62">
        <v>444735</v>
      </c>
      <c r="J29" s="62">
        <f t="shared" si="11"/>
        <v>86.57</v>
      </c>
      <c r="K29" s="62">
        <f t="shared" si="12"/>
        <v>3043732</v>
      </c>
      <c r="L29" s="62">
        <f t="shared" si="13"/>
        <v>592.51</v>
      </c>
      <c r="M29" s="76">
        <f t="shared" si="2"/>
        <v>0.34320154</v>
      </c>
      <c r="N29" s="61">
        <f t="shared" si="3"/>
        <v>66</v>
      </c>
      <c r="O29" s="75">
        <f t="shared" si="4"/>
        <v>54.542</v>
      </c>
      <c r="P29" s="62">
        <f t="shared" si="5"/>
        <v>1465844</v>
      </c>
      <c r="Q29" s="62">
        <f t="shared" si="14"/>
        <v>285.35</v>
      </c>
      <c r="R29" s="66">
        <f t="shared" si="6"/>
        <v>0.01</v>
      </c>
      <c r="S29" s="62">
        <f t="shared" si="7"/>
        <v>830085</v>
      </c>
      <c r="T29" s="62">
        <f t="shared" si="15"/>
        <v>161.5894490948024</v>
      </c>
      <c r="U29" s="62">
        <f t="shared" si="16"/>
        <v>444735</v>
      </c>
      <c r="V29" s="62">
        <f t="shared" si="17"/>
        <v>86.57</v>
      </c>
      <c r="W29" s="62">
        <f t="shared" si="18"/>
        <v>2740664</v>
      </c>
      <c r="X29" s="62">
        <f t="shared" si="19"/>
        <v>533.51</v>
      </c>
      <c r="Y29" s="64">
        <f t="shared" si="20"/>
        <v>0.900424</v>
      </c>
      <c r="Z29" s="61">
        <f t="shared" si="8"/>
        <v>42</v>
      </c>
      <c r="AA29" s="61"/>
      <c r="AB29" s="62">
        <v>43827968</v>
      </c>
      <c r="AC29" s="62">
        <v>16952650</v>
      </c>
      <c r="AD29" s="62">
        <f t="shared" si="21"/>
        <v>26875318</v>
      </c>
      <c r="AE29" s="102">
        <v>5.89</v>
      </c>
      <c r="AF29" s="62">
        <v>149752</v>
      </c>
      <c r="AG29" s="75">
        <v>23.98</v>
      </c>
      <c r="AH29" s="62">
        <v>624509</v>
      </c>
      <c r="AI29" s="102">
        <v>2.62</v>
      </c>
      <c r="AJ29" s="102">
        <v>16</v>
      </c>
      <c r="AK29" s="61">
        <v>7</v>
      </c>
      <c r="AL29" s="62">
        <v>237277</v>
      </c>
      <c r="AM29" s="62">
        <f t="shared" si="22"/>
        <v>1011538</v>
      </c>
      <c r="AN29" s="102">
        <v>0</v>
      </c>
      <c r="AO29" s="62">
        <v>0</v>
      </c>
      <c r="AP29" s="102">
        <v>18</v>
      </c>
      <c r="AQ29" s="102">
        <v>32</v>
      </c>
      <c r="AR29" s="61">
        <v>3</v>
      </c>
      <c r="AS29" s="62">
        <v>454306</v>
      </c>
      <c r="AT29" s="62">
        <f t="shared" si="23"/>
        <v>454306</v>
      </c>
      <c r="AU29" s="102">
        <f t="shared" si="24"/>
        <v>29.87</v>
      </c>
      <c r="AV29" s="62">
        <f t="shared" si="24"/>
        <v>774261</v>
      </c>
      <c r="AW29" s="62">
        <f t="shared" si="25"/>
        <v>691583</v>
      </c>
      <c r="AX29" s="62">
        <f t="shared" si="26"/>
        <v>1465844</v>
      </c>
      <c r="AY29" s="380">
        <f t="shared" si="27"/>
        <v>16.904</v>
      </c>
      <c r="AZ29" s="380">
        <f t="shared" si="28"/>
        <v>37.638</v>
      </c>
      <c r="BA29" s="380">
        <f t="shared" si="29"/>
        <v>54.542</v>
      </c>
      <c r="BB29" s="66">
        <v>0.01</v>
      </c>
      <c r="BC29" s="62">
        <v>830085</v>
      </c>
      <c r="BD29" s="62">
        <v>0</v>
      </c>
      <c r="BE29" s="62">
        <f t="shared" si="30"/>
        <v>830085</v>
      </c>
      <c r="BF29" s="62">
        <f t="shared" si="31"/>
        <v>83008500</v>
      </c>
      <c r="BG29" s="66">
        <f t="shared" si="32"/>
        <v>0.01</v>
      </c>
      <c r="BH29" s="66">
        <f t="shared" si="33"/>
        <v>0</v>
      </c>
      <c r="BI29" s="62">
        <f t="shared" si="34"/>
        <v>2740664</v>
      </c>
    </row>
    <row r="30" spans="2:61" ht="12.75">
      <c r="B30" s="60">
        <v>23</v>
      </c>
      <c r="C30" s="61" t="s">
        <v>25</v>
      </c>
      <c r="D30" s="61">
        <f>'Table 4 Formula'!U30</f>
        <v>20137</v>
      </c>
      <c r="E30" s="62">
        <f t="shared" si="0"/>
        <v>8543260</v>
      </c>
      <c r="F30" s="62">
        <f t="shared" si="9"/>
        <v>424.26</v>
      </c>
      <c r="G30" s="62">
        <f t="shared" si="1"/>
        <v>15931221</v>
      </c>
      <c r="H30" s="62">
        <f t="shared" si="10"/>
        <v>791.14</v>
      </c>
      <c r="I30" s="62">
        <v>637066</v>
      </c>
      <c r="J30" s="62">
        <f t="shared" si="11"/>
        <v>31.64</v>
      </c>
      <c r="K30" s="62">
        <f t="shared" si="12"/>
        <v>25111547</v>
      </c>
      <c r="L30" s="62">
        <f t="shared" si="13"/>
        <v>1247.04</v>
      </c>
      <c r="M30" s="76">
        <f t="shared" si="2"/>
        <v>0.72232713</v>
      </c>
      <c r="N30" s="61">
        <f t="shared" si="3"/>
        <v>33</v>
      </c>
      <c r="O30" s="75">
        <f t="shared" si="4"/>
        <v>36.009</v>
      </c>
      <c r="P30" s="62">
        <f t="shared" si="5"/>
        <v>7483196</v>
      </c>
      <c r="Q30" s="62">
        <f t="shared" si="14"/>
        <v>371.61</v>
      </c>
      <c r="R30" s="66">
        <f t="shared" si="6"/>
        <v>0.02</v>
      </c>
      <c r="S30" s="62">
        <f t="shared" si="7"/>
        <v>17701357</v>
      </c>
      <c r="T30" s="62">
        <f t="shared" si="15"/>
        <v>879.0463822813726</v>
      </c>
      <c r="U30" s="62">
        <f t="shared" si="16"/>
        <v>637066</v>
      </c>
      <c r="V30" s="62">
        <f t="shared" si="17"/>
        <v>31.64</v>
      </c>
      <c r="W30" s="62">
        <f t="shared" si="18"/>
        <v>25821619</v>
      </c>
      <c r="X30" s="62">
        <f t="shared" si="19"/>
        <v>1282.3</v>
      </c>
      <c r="Y30" s="64">
        <f t="shared" si="20"/>
        <v>1.028275</v>
      </c>
      <c r="Z30" s="61">
        <f t="shared" si="8"/>
        <v>25</v>
      </c>
      <c r="AA30" s="61"/>
      <c r="AB30" s="62">
        <v>288474236</v>
      </c>
      <c r="AC30" s="62">
        <v>80659604</v>
      </c>
      <c r="AD30" s="62">
        <f t="shared" si="21"/>
        <v>207814632</v>
      </c>
      <c r="AE30" s="102">
        <v>5.56</v>
      </c>
      <c r="AF30" s="62">
        <v>1122694</v>
      </c>
      <c r="AG30" s="75">
        <v>7.79</v>
      </c>
      <c r="AH30" s="62">
        <v>1572983</v>
      </c>
      <c r="AI30" s="102">
        <v>0</v>
      </c>
      <c r="AJ30" s="102">
        <v>0</v>
      </c>
      <c r="AK30" s="61">
        <v>0</v>
      </c>
      <c r="AL30" s="62">
        <v>0</v>
      </c>
      <c r="AM30" s="62">
        <f t="shared" si="22"/>
        <v>2695677</v>
      </c>
      <c r="AN30" s="102">
        <v>23.84</v>
      </c>
      <c r="AO30" s="62">
        <v>4787519</v>
      </c>
      <c r="AP30" s="102">
        <v>0</v>
      </c>
      <c r="AQ30" s="102">
        <v>0</v>
      </c>
      <c r="AR30" s="61">
        <v>0</v>
      </c>
      <c r="AS30" s="62">
        <v>0</v>
      </c>
      <c r="AT30" s="62">
        <f t="shared" si="23"/>
        <v>4787519</v>
      </c>
      <c r="AU30" s="102">
        <f t="shared" si="24"/>
        <v>37.19</v>
      </c>
      <c r="AV30" s="62">
        <f t="shared" si="24"/>
        <v>7483196</v>
      </c>
      <c r="AW30" s="62">
        <f t="shared" si="25"/>
        <v>0</v>
      </c>
      <c r="AX30" s="62">
        <f t="shared" si="26"/>
        <v>7483196</v>
      </c>
      <c r="AY30" s="380">
        <f t="shared" si="27"/>
        <v>23.037</v>
      </c>
      <c r="AZ30" s="380">
        <f t="shared" si="28"/>
        <v>12.972</v>
      </c>
      <c r="BA30" s="380">
        <f t="shared" si="29"/>
        <v>36.009</v>
      </c>
      <c r="BB30" s="66">
        <v>0.02</v>
      </c>
      <c r="BC30" s="62">
        <v>17076697</v>
      </c>
      <c r="BD30" s="62">
        <v>624660</v>
      </c>
      <c r="BE30" s="62">
        <f t="shared" si="30"/>
        <v>17701357</v>
      </c>
      <c r="BF30" s="62">
        <f t="shared" si="31"/>
        <v>885067850</v>
      </c>
      <c r="BG30" s="66">
        <f t="shared" si="32"/>
        <v>0.0193</v>
      </c>
      <c r="BH30" s="66">
        <f t="shared" si="33"/>
        <v>0.0007</v>
      </c>
      <c r="BI30" s="62">
        <f t="shared" si="34"/>
        <v>25821619</v>
      </c>
    </row>
    <row r="31" spans="2:61" ht="12.75">
      <c r="B31" s="60">
        <v>24</v>
      </c>
      <c r="C31" s="61" t="s">
        <v>26</v>
      </c>
      <c r="D31" s="61">
        <f>'Table 4 Formula'!U31</f>
        <v>7062</v>
      </c>
      <c r="E31" s="62">
        <f t="shared" si="0"/>
        <v>10105651</v>
      </c>
      <c r="F31" s="62">
        <f t="shared" si="9"/>
        <v>1430.99</v>
      </c>
      <c r="G31" s="62">
        <f t="shared" si="1"/>
        <v>9476068</v>
      </c>
      <c r="H31" s="62">
        <f t="shared" si="10"/>
        <v>1341.84</v>
      </c>
      <c r="I31" s="62">
        <v>147307.5</v>
      </c>
      <c r="J31" s="62">
        <f t="shared" si="11"/>
        <v>20.86</v>
      </c>
      <c r="K31" s="62">
        <f t="shared" si="12"/>
        <v>19729026.5</v>
      </c>
      <c r="L31" s="62">
        <f t="shared" si="13"/>
        <v>2793.69</v>
      </c>
      <c r="M31" s="76">
        <f t="shared" si="2"/>
        <v>1.61819835</v>
      </c>
      <c r="N31" s="61">
        <f t="shared" si="3"/>
        <v>6</v>
      </c>
      <c r="O31" s="75">
        <f t="shared" si="4"/>
        <v>38.884</v>
      </c>
      <c r="P31" s="62">
        <f t="shared" si="5"/>
        <v>9558382</v>
      </c>
      <c r="Q31" s="62">
        <f t="shared" si="14"/>
        <v>1353.5</v>
      </c>
      <c r="R31" s="66">
        <f t="shared" si="6"/>
        <v>0.0167</v>
      </c>
      <c r="S31" s="62">
        <f t="shared" si="7"/>
        <v>8791685</v>
      </c>
      <c r="T31" s="62">
        <f t="shared" si="15"/>
        <v>1244.9284905126026</v>
      </c>
      <c r="U31" s="62">
        <f t="shared" si="16"/>
        <v>147307.5</v>
      </c>
      <c r="V31" s="62">
        <f t="shared" si="17"/>
        <v>20.86</v>
      </c>
      <c r="W31" s="62">
        <f t="shared" si="18"/>
        <v>18497374.5</v>
      </c>
      <c r="X31" s="62">
        <f t="shared" si="19"/>
        <v>2619.28</v>
      </c>
      <c r="Y31" s="64">
        <f t="shared" si="20"/>
        <v>0.93757</v>
      </c>
      <c r="Z31" s="61">
        <f t="shared" si="8"/>
        <v>39</v>
      </c>
      <c r="AA31" s="61"/>
      <c r="AB31" s="62">
        <v>276170559</v>
      </c>
      <c r="AC31" s="62">
        <v>30350781</v>
      </c>
      <c r="AD31" s="62">
        <f t="shared" si="21"/>
        <v>245819778</v>
      </c>
      <c r="AE31" s="102">
        <v>3.93</v>
      </c>
      <c r="AF31" s="62">
        <v>935859</v>
      </c>
      <c r="AG31" s="75">
        <v>24.34</v>
      </c>
      <c r="AH31" s="62">
        <v>5760113</v>
      </c>
      <c r="AI31" s="102">
        <v>0</v>
      </c>
      <c r="AJ31" s="102">
        <v>0</v>
      </c>
      <c r="AK31" s="61">
        <v>0</v>
      </c>
      <c r="AL31" s="62">
        <v>0</v>
      </c>
      <c r="AM31" s="62">
        <f t="shared" si="22"/>
        <v>6695972</v>
      </c>
      <c r="AN31" s="102">
        <v>12</v>
      </c>
      <c r="AO31" s="62">
        <v>2862410</v>
      </c>
      <c r="AP31" s="102">
        <v>0</v>
      </c>
      <c r="AQ31" s="102">
        <v>0</v>
      </c>
      <c r="AR31" s="61">
        <v>0</v>
      </c>
      <c r="AS31" s="62">
        <v>0</v>
      </c>
      <c r="AT31" s="62">
        <f t="shared" si="23"/>
        <v>2862410</v>
      </c>
      <c r="AU31" s="102">
        <f t="shared" si="24"/>
        <v>40.269999999999996</v>
      </c>
      <c r="AV31" s="62">
        <f t="shared" si="24"/>
        <v>9558382</v>
      </c>
      <c r="AW31" s="62">
        <f t="shared" si="25"/>
        <v>0</v>
      </c>
      <c r="AX31" s="62">
        <f t="shared" si="26"/>
        <v>9558382</v>
      </c>
      <c r="AY31" s="380">
        <f t="shared" si="27"/>
        <v>11.644</v>
      </c>
      <c r="AZ31" s="380">
        <f t="shared" si="28"/>
        <v>27.239</v>
      </c>
      <c r="BA31" s="380">
        <f t="shared" si="29"/>
        <v>38.884</v>
      </c>
      <c r="BB31" s="66">
        <v>0.0167</v>
      </c>
      <c r="BC31" s="62">
        <v>8791685</v>
      </c>
      <c r="BD31" s="62">
        <v>0</v>
      </c>
      <c r="BE31" s="62">
        <f t="shared" si="30"/>
        <v>8791685</v>
      </c>
      <c r="BF31" s="62">
        <f t="shared" si="31"/>
        <v>526448204</v>
      </c>
      <c r="BG31" s="66">
        <f t="shared" si="32"/>
        <v>0.0167</v>
      </c>
      <c r="BH31" s="66">
        <f t="shared" si="33"/>
        <v>0</v>
      </c>
      <c r="BI31" s="62">
        <f t="shared" si="34"/>
        <v>18497374.5</v>
      </c>
    </row>
    <row r="32" spans="2:61" ht="12.75">
      <c r="B32" s="83">
        <v>25</v>
      </c>
      <c r="C32" s="84" t="s">
        <v>27</v>
      </c>
      <c r="D32" s="84">
        <f>'Table 4 Formula'!U32</f>
        <v>3665</v>
      </c>
      <c r="E32" s="85">
        <f t="shared" si="0"/>
        <v>1974436</v>
      </c>
      <c r="F32" s="85">
        <f t="shared" si="9"/>
        <v>538.73</v>
      </c>
      <c r="G32" s="85">
        <f t="shared" si="1"/>
        <v>2093813</v>
      </c>
      <c r="H32" s="85">
        <f t="shared" si="10"/>
        <v>571.3</v>
      </c>
      <c r="I32" s="85">
        <v>101520</v>
      </c>
      <c r="J32" s="85">
        <f t="shared" si="11"/>
        <v>27.7</v>
      </c>
      <c r="K32" s="85">
        <f t="shared" si="12"/>
        <v>4169769</v>
      </c>
      <c r="L32" s="85">
        <f t="shared" si="13"/>
        <v>1137.73</v>
      </c>
      <c r="M32" s="94">
        <f t="shared" si="2"/>
        <v>0.65901113</v>
      </c>
      <c r="N32" s="84">
        <f t="shared" si="3"/>
        <v>41</v>
      </c>
      <c r="O32" s="93">
        <f t="shared" si="4"/>
        <v>34.015</v>
      </c>
      <c r="P32" s="85">
        <f t="shared" si="5"/>
        <v>1633662</v>
      </c>
      <c r="Q32" s="85">
        <f t="shared" si="14"/>
        <v>445.75</v>
      </c>
      <c r="R32" s="90">
        <f t="shared" si="6"/>
        <v>0.024</v>
      </c>
      <c r="S32" s="85">
        <f t="shared" si="7"/>
        <v>2791750</v>
      </c>
      <c r="T32" s="85">
        <f t="shared" si="15"/>
        <v>761.7326057298773</v>
      </c>
      <c r="U32" s="85">
        <f t="shared" si="16"/>
        <v>101520</v>
      </c>
      <c r="V32" s="85">
        <f t="shared" si="17"/>
        <v>27.7</v>
      </c>
      <c r="W32" s="85">
        <f t="shared" si="18"/>
        <v>4526932</v>
      </c>
      <c r="X32" s="85">
        <f t="shared" si="19"/>
        <v>1235.18</v>
      </c>
      <c r="Y32" s="88">
        <f t="shared" si="20"/>
        <v>1.085653</v>
      </c>
      <c r="Z32" s="84">
        <f t="shared" si="8"/>
        <v>17</v>
      </c>
      <c r="AA32" s="84"/>
      <c r="AB32" s="85">
        <v>62317280</v>
      </c>
      <c r="AC32" s="85">
        <v>14289150</v>
      </c>
      <c r="AD32" s="85">
        <f t="shared" si="21"/>
        <v>48028130</v>
      </c>
      <c r="AE32" s="103">
        <v>5.21</v>
      </c>
      <c r="AF32" s="85">
        <v>249138</v>
      </c>
      <c r="AG32" s="93">
        <v>13.7</v>
      </c>
      <c r="AH32" s="85">
        <v>655225</v>
      </c>
      <c r="AI32" s="103">
        <v>0</v>
      </c>
      <c r="AJ32" s="103">
        <v>0</v>
      </c>
      <c r="AK32" s="84">
        <v>0</v>
      </c>
      <c r="AL32" s="85">
        <v>0</v>
      </c>
      <c r="AM32" s="85">
        <f t="shared" si="22"/>
        <v>904363</v>
      </c>
      <c r="AN32" s="103">
        <v>0</v>
      </c>
      <c r="AO32" s="85">
        <v>0</v>
      </c>
      <c r="AP32" s="103">
        <v>11</v>
      </c>
      <c r="AQ32" s="103">
        <v>26.5</v>
      </c>
      <c r="AR32" s="84">
        <v>4</v>
      </c>
      <c r="AS32" s="85">
        <v>729299</v>
      </c>
      <c r="AT32" s="85">
        <f t="shared" si="23"/>
        <v>729299</v>
      </c>
      <c r="AU32" s="103">
        <f t="shared" si="24"/>
        <v>18.91</v>
      </c>
      <c r="AV32" s="85">
        <f t="shared" si="24"/>
        <v>904363</v>
      </c>
      <c r="AW32" s="85">
        <f t="shared" si="25"/>
        <v>729299</v>
      </c>
      <c r="AX32" s="85">
        <f t="shared" si="26"/>
        <v>1633662</v>
      </c>
      <c r="AY32" s="381">
        <f t="shared" si="27"/>
        <v>15.185</v>
      </c>
      <c r="AZ32" s="381">
        <f t="shared" si="28"/>
        <v>18.83</v>
      </c>
      <c r="BA32" s="381">
        <f t="shared" si="29"/>
        <v>34.015</v>
      </c>
      <c r="BB32" s="90">
        <v>0.024</v>
      </c>
      <c r="BC32" s="85">
        <v>2791750</v>
      </c>
      <c r="BD32" s="85">
        <v>0</v>
      </c>
      <c r="BE32" s="85">
        <f t="shared" si="30"/>
        <v>2791750</v>
      </c>
      <c r="BF32" s="85">
        <f t="shared" si="31"/>
        <v>116322917</v>
      </c>
      <c r="BG32" s="90">
        <f t="shared" si="32"/>
        <v>0.024</v>
      </c>
      <c r="BH32" s="90">
        <f t="shared" si="33"/>
        <v>0</v>
      </c>
      <c r="BI32" s="85">
        <f t="shared" si="34"/>
        <v>4526932</v>
      </c>
    </row>
    <row r="33" spans="2:61" ht="12.75">
      <c r="B33" s="60">
        <v>26</v>
      </c>
      <c r="C33" s="61" t="s">
        <v>28</v>
      </c>
      <c r="D33" s="61">
        <f>'Table 4 Formula'!U33</f>
        <v>69604</v>
      </c>
      <c r="E33" s="62">
        <f t="shared" si="0"/>
        <v>67166349</v>
      </c>
      <c r="F33" s="62">
        <f t="shared" si="9"/>
        <v>964.98</v>
      </c>
      <c r="G33" s="62">
        <f t="shared" si="1"/>
        <v>125701167</v>
      </c>
      <c r="H33" s="62">
        <f t="shared" si="10"/>
        <v>1805.95</v>
      </c>
      <c r="I33" s="62">
        <v>2111061.5</v>
      </c>
      <c r="J33" s="62">
        <f t="shared" si="11"/>
        <v>30.33</v>
      </c>
      <c r="K33" s="62">
        <f t="shared" si="12"/>
        <v>194978577.5</v>
      </c>
      <c r="L33" s="62">
        <f t="shared" si="13"/>
        <v>2801.26</v>
      </c>
      <c r="M33" s="76">
        <f t="shared" si="2"/>
        <v>1.62258315</v>
      </c>
      <c r="N33" s="61">
        <f t="shared" si="3"/>
        <v>5</v>
      </c>
      <c r="O33" s="75">
        <f t="shared" si="4"/>
        <v>13.837</v>
      </c>
      <c r="P33" s="62">
        <f t="shared" si="5"/>
        <v>22607029</v>
      </c>
      <c r="Q33" s="62">
        <f t="shared" si="14"/>
        <v>324.79</v>
      </c>
      <c r="R33" s="66">
        <f t="shared" si="6"/>
        <v>0.02</v>
      </c>
      <c r="S33" s="62">
        <f t="shared" si="7"/>
        <v>139667963</v>
      </c>
      <c r="T33" s="62">
        <f t="shared" si="15"/>
        <v>2006.6082840066663</v>
      </c>
      <c r="U33" s="62">
        <f t="shared" si="16"/>
        <v>2111061.5</v>
      </c>
      <c r="V33" s="62">
        <f t="shared" si="17"/>
        <v>30.33</v>
      </c>
      <c r="W33" s="62">
        <f t="shared" si="18"/>
        <v>164386053.5</v>
      </c>
      <c r="X33" s="62">
        <f t="shared" si="19"/>
        <v>2361.73</v>
      </c>
      <c r="Y33" s="64">
        <f t="shared" si="20"/>
        <v>0.843096</v>
      </c>
      <c r="Z33" s="61">
        <f t="shared" si="8"/>
        <v>46</v>
      </c>
      <c r="AA33" s="61"/>
      <c r="AB33" s="62">
        <v>2351736764</v>
      </c>
      <c r="AC33" s="62">
        <v>717916540</v>
      </c>
      <c r="AD33" s="62">
        <f t="shared" si="21"/>
        <v>1633820224</v>
      </c>
      <c r="AE33" s="102">
        <v>2.91</v>
      </c>
      <c r="AF33" s="62">
        <v>4727036</v>
      </c>
      <c r="AG33" s="75">
        <v>11</v>
      </c>
      <c r="AH33" s="62">
        <v>17798744</v>
      </c>
      <c r="AI33" s="102">
        <v>0</v>
      </c>
      <c r="AJ33" s="102">
        <v>0</v>
      </c>
      <c r="AK33" s="61">
        <v>0</v>
      </c>
      <c r="AL33" s="62">
        <v>0</v>
      </c>
      <c r="AM33" s="62">
        <f t="shared" si="22"/>
        <v>22525780</v>
      </c>
      <c r="AN33" s="102">
        <v>0</v>
      </c>
      <c r="AO33" s="62">
        <v>81249</v>
      </c>
      <c r="AP33" s="102">
        <v>0</v>
      </c>
      <c r="AQ33" s="102">
        <v>0</v>
      </c>
      <c r="AR33" s="61">
        <v>0</v>
      </c>
      <c r="AS33" s="62">
        <v>0</v>
      </c>
      <c r="AT33" s="62">
        <f t="shared" si="23"/>
        <v>81249</v>
      </c>
      <c r="AU33" s="102">
        <f t="shared" si="24"/>
        <v>13.91</v>
      </c>
      <c r="AV33" s="62">
        <f t="shared" si="24"/>
        <v>22607029</v>
      </c>
      <c r="AW33" s="62">
        <f t="shared" si="25"/>
        <v>0</v>
      </c>
      <c r="AX33" s="62">
        <f t="shared" si="26"/>
        <v>22607029</v>
      </c>
      <c r="AY33" s="380">
        <f t="shared" si="27"/>
        <v>0.05</v>
      </c>
      <c r="AZ33" s="380">
        <f t="shared" si="28"/>
        <v>13.787</v>
      </c>
      <c r="BA33" s="380">
        <f t="shared" si="29"/>
        <v>13.837</v>
      </c>
      <c r="BB33" s="66">
        <v>0.02</v>
      </c>
      <c r="BC33" s="62">
        <v>139667963</v>
      </c>
      <c r="BD33" s="62">
        <v>0</v>
      </c>
      <c r="BE33" s="62">
        <f t="shared" si="30"/>
        <v>139667963</v>
      </c>
      <c r="BF33" s="62">
        <f t="shared" si="31"/>
        <v>6983398150</v>
      </c>
      <c r="BG33" s="66">
        <f t="shared" si="32"/>
        <v>0.02</v>
      </c>
      <c r="BH33" s="66">
        <f t="shared" si="33"/>
        <v>0</v>
      </c>
      <c r="BI33" s="62">
        <f t="shared" si="34"/>
        <v>164386053.5</v>
      </c>
    </row>
    <row r="34" spans="2:61" ht="12.75">
      <c r="B34" s="60">
        <v>27</v>
      </c>
      <c r="C34" s="61" t="s">
        <v>29</v>
      </c>
      <c r="D34" s="61">
        <f>'Table 4 Formula'!U34</f>
        <v>8388</v>
      </c>
      <c r="E34" s="62">
        <f t="shared" si="0"/>
        <v>3763928</v>
      </c>
      <c r="F34" s="62">
        <f t="shared" si="9"/>
        <v>448.73</v>
      </c>
      <c r="G34" s="62">
        <f t="shared" si="1"/>
        <v>5411152</v>
      </c>
      <c r="H34" s="62">
        <f t="shared" si="10"/>
        <v>645.11</v>
      </c>
      <c r="I34" s="62">
        <v>306298</v>
      </c>
      <c r="J34" s="62">
        <f t="shared" si="11"/>
        <v>36.52</v>
      </c>
      <c r="K34" s="62">
        <f t="shared" si="12"/>
        <v>9481378</v>
      </c>
      <c r="L34" s="62">
        <f t="shared" si="13"/>
        <v>1130.35</v>
      </c>
      <c r="M34" s="76">
        <f t="shared" si="2"/>
        <v>0.65473639</v>
      </c>
      <c r="N34" s="61">
        <f t="shared" si="3"/>
        <v>42</v>
      </c>
      <c r="O34" s="75">
        <f t="shared" si="4"/>
        <v>33.022</v>
      </c>
      <c r="P34" s="62">
        <f t="shared" si="5"/>
        <v>3023373</v>
      </c>
      <c r="Q34" s="62">
        <f t="shared" si="14"/>
        <v>360.44</v>
      </c>
      <c r="R34" s="66">
        <f t="shared" si="6"/>
        <v>0.02</v>
      </c>
      <c r="S34" s="62">
        <f t="shared" si="7"/>
        <v>6012391</v>
      </c>
      <c r="T34" s="62">
        <f t="shared" si="15"/>
        <v>716.78481163567</v>
      </c>
      <c r="U34" s="62">
        <f t="shared" si="16"/>
        <v>306298</v>
      </c>
      <c r="V34" s="62">
        <f t="shared" si="17"/>
        <v>36.52</v>
      </c>
      <c r="W34" s="62">
        <f t="shared" si="18"/>
        <v>9342062</v>
      </c>
      <c r="X34" s="62">
        <f t="shared" si="19"/>
        <v>1113.74</v>
      </c>
      <c r="Y34" s="64">
        <f t="shared" si="20"/>
        <v>0.985305</v>
      </c>
      <c r="Z34" s="61">
        <f t="shared" si="8"/>
        <v>30</v>
      </c>
      <c r="AA34" s="61"/>
      <c r="AB34" s="62">
        <v>120885850</v>
      </c>
      <c r="AC34" s="62">
        <v>29328365</v>
      </c>
      <c r="AD34" s="62">
        <f t="shared" si="21"/>
        <v>91557485</v>
      </c>
      <c r="AE34" s="102">
        <v>6.36</v>
      </c>
      <c r="AF34" s="62">
        <v>578175</v>
      </c>
      <c r="AG34" s="75">
        <v>10.57</v>
      </c>
      <c r="AH34" s="62">
        <v>960851</v>
      </c>
      <c r="AI34" s="102">
        <v>4</v>
      </c>
      <c r="AJ34" s="102">
        <v>11.84</v>
      </c>
      <c r="AK34" s="61">
        <v>7</v>
      </c>
      <c r="AL34" s="62">
        <v>975514</v>
      </c>
      <c r="AM34" s="62">
        <f t="shared" si="22"/>
        <v>2514540</v>
      </c>
      <c r="AN34" s="102">
        <v>0</v>
      </c>
      <c r="AO34" s="62">
        <v>0</v>
      </c>
      <c r="AP34" s="102">
        <v>5.5</v>
      </c>
      <c r="AQ34" s="102">
        <v>25</v>
      </c>
      <c r="AR34" s="61">
        <v>4</v>
      </c>
      <c r="AS34" s="62">
        <v>508833</v>
      </c>
      <c r="AT34" s="62">
        <f t="shared" si="23"/>
        <v>508833</v>
      </c>
      <c r="AU34" s="102">
        <f t="shared" si="24"/>
        <v>16.93</v>
      </c>
      <c r="AV34" s="62">
        <f t="shared" si="24"/>
        <v>1539026</v>
      </c>
      <c r="AW34" s="62">
        <f t="shared" si="25"/>
        <v>1484347</v>
      </c>
      <c r="AX34" s="62">
        <f t="shared" si="26"/>
        <v>3023373</v>
      </c>
      <c r="AY34" s="380">
        <f t="shared" si="27"/>
        <v>5.558</v>
      </c>
      <c r="AZ34" s="380">
        <f t="shared" si="28"/>
        <v>27.464</v>
      </c>
      <c r="BA34" s="380">
        <f t="shared" si="29"/>
        <v>33.022</v>
      </c>
      <c r="BB34" s="66">
        <v>0.02</v>
      </c>
      <c r="BC34" s="62">
        <v>6012391</v>
      </c>
      <c r="BD34" s="62">
        <v>0</v>
      </c>
      <c r="BE34" s="62">
        <f t="shared" si="30"/>
        <v>6012391</v>
      </c>
      <c r="BF34" s="62">
        <f t="shared" si="31"/>
        <v>300619550</v>
      </c>
      <c r="BG34" s="66">
        <f t="shared" si="32"/>
        <v>0.02</v>
      </c>
      <c r="BH34" s="66">
        <f t="shared" si="33"/>
        <v>0</v>
      </c>
      <c r="BI34" s="62">
        <f t="shared" si="34"/>
        <v>9342062</v>
      </c>
    </row>
    <row r="35" spans="2:61" ht="12.75">
      <c r="B35" s="60">
        <v>28</v>
      </c>
      <c r="C35" s="61" t="s">
        <v>30</v>
      </c>
      <c r="D35" s="61">
        <f>'Table 4 Formula'!U35</f>
        <v>37544</v>
      </c>
      <c r="E35" s="62">
        <f t="shared" si="0"/>
        <v>24346716</v>
      </c>
      <c r="F35" s="62">
        <f t="shared" si="9"/>
        <v>648.48</v>
      </c>
      <c r="G35" s="62">
        <f t="shared" si="1"/>
        <v>59243377</v>
      </c>
      <c r="H35" s="62">
        <f t="shared" si="10"/>
        <v>1577.97</v>
      </c>
      <c r="I35" s="62">
        <v>1978171</v>
      </c>
      <c r="J35" s="62">
        <f t="shared" si="11"/>
        <v>52.69</v>
      </c>
      <c r="K35" s="62">
        <f t="shared" si="12"/>
        <v>85568264</v>
      </c>
      <c r="L35" s="62">
        <f t="shared" si="13"/>
        <v>2279.15</v>
      </c>
      <c r="M35" s="76">
        <f t="shared" si="2"/>
        <v>1.32015964</v>
      </c>
      <c r="N35" s="61">
        <f t="shared" si="3"/>
        <v>10</v>
      </c>
      <c r="O35" s="75">
        <f t="shared" si="4"/>
        <v>33.6</v>
      </c>
      <c r="P35" s="62">
        <f t="shared" si="5"/>
        <v>19898762</v>
      </c>
      <c r="Q35" s="62">
        <f t="shared" si="14"/>
        <v>530.01</v>
      </c>
      <c r="R35" s="66">
        <f t="shared" si="6"/>
        <v>0.015</v>
      </c>
      <c r="S35" s="62">
        <f t="shared" si="7"/>
        <v>49369481</v>
      </c>
      <c r="T35" s="62">
        <f t="shared" si="15"/>
        <v>1314.9765874707011</v>
      </c>
      <c r="U35" s="62">
        <f t="shared" si="16"/>
        <v>1978171</v>
      </c>
      <c r="V35" s="62">
        <f t="shared" si="17"/>
        <v>52.69</v>
      </c>
      <c r="W35" s="62">
        <f t="shared" si="18"/>
        <v>71246414</v>
      </c>
      <c r="X35" s="62">
        <f t="shared" si="19"/>
        <v>1897.68</v>
      </c>
      <c r="Y35" s="64">
        <f t="shared" si="20"/>
        <v>0.832626</v>
      </c>
      <c r="Z35" s="61">
        <f t="shared" si="8"/>
        <v>47</v>
      </c>
      <c r="AA35" s="61"/>
      <c r="AB35" s="62">
        <v>824767112</v>
      </c>
      <c r="AC35" s="62">
        <v>232533701</v>
      </c>
      <c r="AD35" s="62">
        <f t="shared" si="21"/>
        <v>592233411</v>
      </c>
      <c r="AE35" s="102">
        <v>4.59</v>
      </c>
      <c r="AF35" s="62">
        <v>2651434</v>
      </c>
      <c r="AG35" s="75">
        <v>28.97</v>
      </c>
      <c r="AH35" s="62">
        <v>16695260</v>
      </c>
      <c r="AI35" s="102">
        <v>0</v>
      </c>
      <c r="AJ35" s="102">
        <v>0</v>
      </c>
      <c r="AK35" s="61">
        <v>0</v>
      </c>
      <c r="AL35" s="62">
        <v>0</v>
      </c>
      <c r="AM35" s="62">
        <f t="shared" si="22"/>
        <v>19346694</v>
      </c>
      <c r="AN35" s="102">
        <v>0.9</v>
      </c>
      <c r="AO35" s="62">
        <v>552068</v>
      </c>
      <c r="AP35" s="102">
        <v>0</v>
      </c>
      <c r="AQ35" s="102">
        <v>0</v>
      </c>
      <c r="AR35" s="61">
        <v>0</v>
      </c>
      <c r="AS35" s="62">
        <v>0</v>
      </c>
      <c r="AT35" s="62">
        <f t="shared" si="23"/>
        <v>552068</v>
      </c>
      <c r="AU35" s="102">
        <f t="shared" si="24"/>
        <v>34.46</v>
      </c>
      <c r="AV35" s="62">
        <f t="shared" si="24"/>
        <v>19898762</v>
      </c>
      <c r="AW35" s="62">
        <f t="shared" si="25"/>
        <v>0</v>
      </c>
      <c r="AX35" s="62">
        <f t="shared" si="26"/>
        <v>19898762</v>
      </c>
      <c r="AY35" s="380">
        <f t="shared" si="27"/>
        <v>0.932</v>
      </c>
      <c r="AZ35" s="380">
        <f t="shared" si="28"/>
        <v>32.667</v>
      </c>
      <c r="BA35" s="380">
        <f t="shared" si="29"/>
        <v>33.6</v>
      </c>
      <c r="BB35" s="66">
        <v>0.015</v>
      </c>
      <c r="BC35" s="62">
        <v>40614637</v>
      </c>
      <c r="BD35" s="62">
        <v>8754844</v>
      </c>
      <c r="BE35" s="62">
        <f t="shared" si="30"/>
        <v>49369481</v>
      </c>
      <c r="BF35" s="62">
        <f t="shared" si="31"/>
        <v>3291298733</v>
      </c>
      <c r="BG35" s="66">
        <f t="shared" si="32"/>
        <v>0.0123</v>
      </c>
      <c r="BH35" s="66">
        <f t="shared" si="33"/>
        <v>0.0027</v>
      </c>
      <c r="BI35" s="62">
        <f t="shared" si="34"/>
        <v>71246414</v>
      </c>
    </row>
    <row r="36" spans="2:61" ht="12.75">
      <c r="B36" s="60">
        <v>29</v>
      </c>
      <c r="C36" s="61" t="s">
        <v>31</v>
      </c>
      <c r="D36" s="61">
        <f>'Table 4 Formula'!U36</f>
        <v>20190</v>
      </c>
      <c r="E36" s="62">
        <f t="shared" si="0"/>
        <v>11066779</v>
      </c>
      <c r="F36" s="62">
        <f t="shared" si="9"/>
        <v>548.13</v>
      </c>
      <c r="G36" s="62">
        <f t="shared" si="1"/>
        <v>15939612</v>
      </c>
      <c r="H36" s="62">
        <f t="shared" si="10"/>
        <v>789.48</v>
      </c>
      <c r="I36" s="62">
        <v>1515548.5</v>
      </c>
      <c r="J36" s="62">
        <f t="shared" si="11"/>
        <v>75.06</v>
      </c>
      <c r="K36" s="62">
        <f t="shared" si="12"/>
        <v>28521939.5</v>
      </c>
      <c r="L36" s="62">
        <f t="shared" si="13"/>
        <v>1412.68</v>
      </c>
      <c r="M36" s="76">
        <f t="shared" si="2"/>
        <v>0.81827134</v>
      </c>
      <c r="N36" s="61">
        <f t="shared" si="3"/>
        <v>28</v>
      </c>
      <c r="O36" s="75">
        <f t="shared" si="4"/>
        <v>42.584</v>
      </c>
      <c r="P36" s="62">
        <f t="shared" si="5"/>
        <v>11463445</v>
      </c>
      <c r="Q36" s="62">
        <f t="shared" si="14"/>
        <v>567.78</v>
      </c>
      <c r="R36" s="66">
        <f t="shared" si="6"/>
        <v>0.02</v>
      </c>
      <c r="S36" s="62">
        <f t="shared" si="7"/>
        <v>17710680</v>
      </c>
      <c r="T36" s="62">
        <f t="shared" si="15"/>
        <v>877.2005943536404</v>
      </c>
      <c r="U36" s="62">
        <f t="shared" si="16"/>
        <v>1515548.5</v>
      </c>
      <c r="V36" s="62">
        <f t="shared" si="17"/>
        <v>75.06</v>
      </c>
      <c r="W36" s="62">
        <f t="shared" si="18"/>
        <v>30689673.5</v>
      </c>
      <c r="X36" s="62">
        <f t="shared" si="19"/>
        <v>1520.04</v>
      </c>
      <c r="Y36" s="64">
        <f t="shared" si="20"/>
        <v>1.075997</v>
      </c>
      <c r="Z36" s="61">
        <f t="shared" si="8"/>
        <v>19</v>
      </c>
      <c r="AA36" s="61"/>
      <c r="AB36" s="62">
        <v>380942840</v>
      </c>
      <c r="AC36" s="62">
        <v>111743650</v>
      </c>
      <c r="AD36" s="62">
        <f t="shared" si="21"/>
        <v>269199190</v>
      </c>
      <c r="AE36" s="102">
        <v>4.11</v>
      </c>
      <c r="AF36" s="62">
        <v>1087347</v>
      </c>
      <c r="AG36" s="75">
        <v>22.02</v>
      </c>
      <c r="AH36" s="62">
        <v>5825642</v>
      </c>
      <c r="AI36" s="102">
        <v>0</v>
      </c>
      <c r="AJ36" s="102">
        <v>0</v>
      </c>
      <c r="AK36" s="61">
        <v>0</v>
      </c>
      <c r="AL36" s="62">
        <v>0</v>
      </c>
      <c r="AM36" s="62">
        <f t="shared" si="22"/>
        <v>6912989</v>
      </c>
      <c r="AN36" s="102">
        <v>17.2</v>
      </c>
      <c r="AO36" s="62">
        <v>4550456</v>
      </c>
      <c r="AP36" s="102">
        <v>0</v>
      </c>
      <c r="AQ36" s="102">
        <v>0</v>
      </c>
      <c r="AR36" s="61">
        <v>0</v>
      </c>
      <c r="AS36" s="62">
        <v>0</v>
      </c>
      <c r="AT36" s="62">
        <f t="shared" si="23"/>
        <v>4550456</v>
      </c>
      <c r="AU36" s="102">
        <f t="shared" si="24"/>
        <v>43.33</v>
      </c>
      <c r="AV36" s="62">
        <f t="shared" si="24"/>
        <v>11463445</v>
      </c>
      <c r="AW36" s="62">
        <f t="shared" si="25"/>
        <v>0</v>
      </c>
      <c r="AX36" s="62">
        <f t="shared" si="26"/>
        <v>11463445</v>
      </c>
      <c r="AY36" s="380">
        <f t="shared" si="27"/>
        <v>16.904</v>
      </c>
      <c r="AZ36" s="380">
        <f t="shared" si="28"/>
        <v>25.68</v>
      </c>
      <c r="BA36" s="380">
        <f t="shared" si="29"/>
        <v>42.584</v>
      </c>
      <c r="BB36" s="66">
        <v>0.02</v>
      </c>
      <c r="BC36" s="62">
        <v>17710680</v>
      </c>
      <c r="BD36" s="62">
        <v>0</v>
      </c>
      <c r="BE36" s="62">
        <f t="shared" si="30"/>
        <v>17710680</v>
      </c>
      <c r="BF36" s="62">
        <f t="shared" si="31"/>
        <v>885534000</v>
      </c>
      <c r="BG36" s="66">
        <f t="shared" si="32"/>
        <v>0.02</v>
      </c>
      <c r="BH36" s="66">
        <f t="shared" si="33"/>
        <v>0</v>
      </c>
      <c r="BI36" s="62">
        <f t="shared" si="34"/>
        <v>30689673.5</v>
      </c>
    </row>
    <row r="37" spans="2:61" ht="12.75">
      <c r="B37" s="83">
        <v>30</v>
      </c>
      <c r="C37" s="84" t="s">
        <v>32</v>
      </c>
      <c r="D37" s="84">
        <f>'Table 4 Formula'!U37</f>
        <v>3561</v>
      </c>
      <c r="E37" s="85">
        <f t="shared" si="0"/>
        <v>1612791</v>
      </c>
      <c r="F37" s="85">
        <f t="shared" si="9"/>
        <v>452.9</v>
      </c>
      <c r="G37" s="85">
        <f t="shared" si="1"/>
        <v>2235953</v>
      </c>
      <c r="H37" s="85">
        <f t="shared" si="10"/>
        <v>627.9</v>
      </c>
      <c r="I37" s="85">
        <v>83966</v>
      </c>
      <c r="J37" s="85">
        <f t="shared" si="11"/>
        <v>23.58</v>
      </c>
      <c r="K37" s="85">
        <f t="shared" si="12"/>
        <v>3932710</v>
      </c>
      <c r="L37" s="85">
        <f t="shared" si="13"/>
        <v>1104.38</v>
      </c>
      <c r="M37" s="94">
        <f t="shared" si="2"/>
        <v>0.6396937</v>
      </c>
      <c r="N37" s="84">
        <f t="shared" si="3"/>
        <v>45</v>
      </c>
      <c r="O37" s="93">
        <f t="shared" si="4"/>
        <v>52.93</v>
      </c>
      <c r="P37" s="85">
        <f t="shared" si="5"/>
        <v>2076495</v>
      </c>
      <c r="Q37" s="85">
        <f t="shared" si="14"/>
        <v>583.12</v>
      </c>
      <c r="R37" s="90">
        <f t="shared" si="6"/>
        <v>0.02</v>
      </c>
      <c r="S37" s="85">
        <f t="shared" si="7"/>
        <v>2484392</v>
      </c>
      <c r="T37" s="85">
        <f t="shared" si="15"/>
        <v>697.666947486661</v>
      </c>
      <c r="U37" s="85">
        <f t="shared" si="16"/>
        <v>83966</v>
      </c>
      <c r="V37" s="85">
        <f t="shared" si="17"/>
        <v>23.58</v>
      </c>
      <c r="W37" s="85">
        <f t="shared" si="18"/>
        <v>4644853</v>
      </c>
      <c r="X37" s="85">
        <f t="shared" si="19"/>
        <v>1304.37</v>
      </c>
      <c r="Y37" s="88">
        <f t="shared" si="20"/>
        <v>1.181088</v>
      </c>
      <c r="Z37" s="84">
        <f t="shared" si="8"/>
        <v>9</v>
      </c>
      <c r="AA37" s="84"/>
      <c r="AB37" s="85">
        <v>52293290</v>
      </c>
      <c r="AC37" s="85">
        <v>13062181</v>
      </c>
      <c r="AD37" s="85">
        <f t="shared" si="21"/>
        <v>39231109</v>
      </c>
      <c r="AE37" s="103">
        <v>5.06</v>
      </c>
      <c r="AF37" s="85">
        <v>185998</v>
      </c>
      <c r="AG37" s="93">
        <v>44.48</v>
      </c>
      <c r="AH37" s="85">
        <v>1650715</v>
      </c>
      <c r="AI37" s="103">
        <v>0</v>
      </c>
      <c r="AJ37" s="103">
        <v>0</v>
      </c>
      <c r="AK37" s="84">
        <v>0</v>
      </c>
      <c r="AL37" s="85">
        <v>0</v>
      </c>
      <c r="AM37" s="85">
        <f t="shared" si="22"/>
        <v>1836713</v>
      </c>
      <c r="AN37" s="103">
        <v>6.5</v>
      </c>
      <c r="AO37" s="85">
        <v>239782</v>
      </c>
      <c r="AP37" s="103">
        <v>0</v>
      </c>
      <c r="AQ37" s="103">
        <v>0</v>
      </c>
      <c r="AR37" s="84">
        <v>0</v>
      </c>
      <c r="AS37" s="85">
        <v>0</v>
      </c>
      <c r="AT37" s="85">
        <f t="shared" si="23"/>
        <v>239782</v>
      </c>
      <c r="AU37" s="103">
        <f t="shared" si="24"/>
        <v>56.04</v>
      </c>
      <c r="AV37" s="85">
        <f t="shared" si="24"/>
        <v>2076495</v>
      </c>
      <c r="AW37" s="85">
        <f t="shared" si="25"/>
        <v>0</v>
      </c>
      <c r="AX37" s="85">
        <f t="shared" si="26"/>
        <v>2076495</v>
      </c>
      <c r="AY37" s="381">
        <f t="shared" si="27"/>
        <v>6.112</v>
      </c>
      <c r="AZ37" s="381">
        <f t="shared" si="28"/>
        <v>46.818</v>
      </c>
      <c r="BA37" s="381">
        <f t="shared" si="29"/>
        <v>52.93</v>
      </c>
      <c r="BB37" s="90">
        <v>0.02</v>
      </c>
      <c r="BC37" s="85">
        <v>2484392</v>
      </c>
      <c r="BD37" s="85">
        <v>0</v>
      </c>
      <c r="BE37" s="85">
        <f t="shared" si="30"/>
        <v>2484392</v>
      </c>
      <c r="BF37" s="85">
        <f t="shared" si="31"/>
        <v>124219600</v>
      </c>
      <c r="BG37" s="90">
        <f t="shared" si="32"/>
        <v>0.02</v>
      </c>
      <c r="BH37" s="90">
        <f t="shared" si="33"/>
        <v>0</v>
      </c>
      <c r="BI37" s="85">
        <f t="shared" si="34"/>
        <v>4644853</v>
      </c>
    </row>
    <row r="38" spans="2:61" ht="12.75">
      <c r="B38" s="60">
        <v>31</v>
      </c>
      <c r="C38" s="61" t="s">
        <v>33</v>
      </c>
      <c r="D38" s="61">
        <f>'Table 4 Formula'!U38</f>
        <v>8707</v>
      </c>
      <c r="E38" s="62">
        <f t="shared" si="0"/>
        <v>5632145</v>
      </c>
      <c r="F38" s="62">
        <f t="shared" si="9"/>
        <v>646.85</v>
      </c>
      <c r="G38" s="62">
        <f t="shared" si="1"/>
        <v>8324689</v>
      </c>
      <c r="H38" s="62">
        <f t="shared" si="10"/>
        <v>956.09</v>
      </c>
      <c r="I38" s="62">
        <v>281021.5</v>
      </c>
      <c r="J38" s="62">
        <f t="shared" si="11"/>
        <v>32.28</v>
      </c>
      <c r="K38" s="62">
        <f t="shared" si="12"/>
        <v>14237855.5</v>
      </c>
      <c r="L38" s="62">
        <f t="shared" si="13"/>
        <v>1635.22</v>
      </c>
      <c r="M38" s="76">
        <f t="shared" si="2"/>
        <v>0.94717392</v>
      </c>
      <c r="N38" s="61">
        <f t="shared" si="3"/>
        <v>19</v>
      </c>
      <c r="O38" s="75">
        <f t="shared" si="4"/>
        <v>44.345</v>
      </c>
      <c r="P38" s="62">
        <f t="shared" si="5"/>
        <v>6075323</v>
      </c>
      <c r="Q38" s="62">
        <f t="shared" si="14"/>
        <v>697.75</v>
      </c>
      <c r="R38" s="66">
        <f t="shared" si="6"/>
        <v>0.0163</v>
      </c>
      <c r="S38" s="62">
        <f t="shared" si="7"/>
        <v>7538468</v>
      </c>
      <c r="T38" s="62">
        <f t="shared" si="15"/>
        <v>865.7939588836568</v>
      </c>
      <c r="U38" s="62">
        <f t="shared" si="16"/>
        <v>281021.5</v>
      </c>
      <c r="V38" s="62">
        <f t="shared" si="17"/>
        <v>32.28</v>
      </c>
      <c r="W38" s="62">
        <f t="shared" si="18"/>
        <v>13894812.5</v>
      </c>
      <c r="X38" s="62">
        <f t="shared" si="19"/>
        <v>1595.82</v>
      </c>
      <c r="Y38" s="64">
        <f t="shared" si="20"/>
        <v>0.975905</v>
      </c>
      <c r="Z38" s="61">
        <f t="shared" si="8"/>
        <v>36</v>
      </c>
      <c r="AA38" s="61"/>
      <c r="AB38" s="62">
        <v>178073240</v>
      </c>
      <c r="AC38" s="62">
        <v>41071420</v>
      </c>
      <c r="AD38" s="62">
        <f t="shared" si="21"/>
        <v>137001820</v>
      </c>
      <c r="AE38" s="102">
        <v>4.99</v>
      </c>
      <c r="AF38" s="62">
        <v>665909</v>
      </c>
      <c r="AG38" s="75">
        <v>22.37</v>
      </c>
      <c r="AH38" s="62">
        <v>2985233</v>
      </c>
      <c r="AI38" s="102">
        <v>3.01</v>
      </c>
      <c r="AJ38" s="102">
        <v>3.33</v>
      </c>
      <c r="AK38" s="61">
        <v>3</v>
      </c>
      <c r="AL38" s="62">
        <v>381462</v>
      </c>
      <c r="AM38" s="62">
        <f t="shared" si="22"/>
        <v>4032604</v>
      </c>
      <c r="AN38" s="102">
        <v>0</v>
      </c>
      <c r="AO38" s="62">
        <v>0</v>
      </c>
      <c r="AP38" s="102">
        <v>17</v>
      </c>
      <c r="AQ38" s="102">
        <v>28</v>
      </c>
      <c r="AR38" s="61">
        <v>3</v>
      </c>
      <c r="AS38" s="62">
        <v>2042719</v>
      </c>
      <c r="AT38" s="62">
        <f t="shared" si="23"/>
        <v>2042719</v>
      </c>
      <c r="AU38" s="102">
        <f t="shared" si="24"/>
        <v>27.36</v>
      </c>
      <c r="AV38" s="62">
        <f t="shared" si="24"/>
        <v>3651142</v>
      </c>
      <c r="AW38" s="62">
        <f t="shared" si="25"/>
        <v>2424181</v>
      </c>
      <c r="AX38" s="62">
        <f t="shared" si="26"/>
        <v>6075323</v>
      </c>
      <c r="AY38" s="380">
        <f t="shared" si="27"/>
        <v>14.91</v>
      </c>
      <c r="AZ38" s="380">
        <f t="shared" si="28"/>
        <v>29.435</v>
      </c>
      <c r="BA38" s="380">
        <f t="shared" si="29"/>
        <v>44.345</v>
      </c>
      <c r="BB38" s="66">
        <v>0.0163</v>
      </c>
      <c r="BC38" s="62">
        <v>7538468</v>
      </c>
      <c r="BD38" s="62">
        <v>0</v>
      </c>
      <c r="BE38" s="62">
        <f t="shared" si="30"/>
        <v>7538468</v>
      </c>
      <c r="BF38" s="62">
        <f t="shared" si="31"/>
        <v>462482699</v>
      </c>
      <c r="BG38" s="66">
        <f t="shared" si="32"/>
        <v>0.0163</v>
      </c>
      <c r="BH38" s="66">
        <f t="shared" si="33"/>
        <v>0</v>
      </c>
      <c r="BI38" s="62">
        <f t="shared" si="34"/>
        <v>13894812.5</v>
      </c>
    </row>
    <row r="39" spans="2:61" ht="12.75">
      <c r="B39" s="60">
        <v>32</v>
      </c>
      <c r="C39" s="61" t="s">
        <v>34</v>
      </c>
      <c r="D39" s="61">
        <f>'Table 4 Formula'!U39</f>
        <v>24203</v>
      </c>
      <c r="E39" s="62">
        <f t="shared" si="0"/>
        <v>4184906</v>
      </c>
      <c r="F39" s="62">
        <f t="shared" si="9"/>
        <v>172.91</v>
      </c>
      <c r="G39" s="62">
        <f t="shared" si="1"/>
        <v>12163905</v>
      </c>
      <c r="H39" s="62">
        <f t="shared" si="10"/>
        <v>502.58</v>
      </c>
      <c r="I39" s="62">
        <v>622236</v>
      </c>
      <c r="J39" s="62">
        <f t="shared" si="11"/>
        <v>25.71</v>
      </c>
      <c r="K39" s="62">
        <f t="shared" si="12"/>
        <v>16971047</v>
      </c>
      <c r="L39" s="62">
        <f t="shared" si="13"/>
        <v>701.2</v>
      </c>
      <c r="M39" s="76">
        <f t="shared" si="2"/>
        <v>0.40615841</v>
      </c>
      <c r="N39" s="61">
        <f t="shared" si="3"/>
        <v>65</v>
      </c>
      <c r="O39" s="75">
        <f t="shared" si="4"/>
        <v>47.094</v>
      </c>
      <c r="P39" s="62">
        <f t="shared" si="5"/>
        <v>4794107</v>
      </c>
      <c r="Q39" s="62">
        <f t="shared" si="14"/>
        <v>198.08</v>
      </c>
      <c r="R39" s="66">
        <f t="shared" si="6"/>
        <v>0.025</v>
      </c>
      <c r="S39" s="62">
        <f t="shared" si="7"/>
        <v>16894312</v>
      </c>
      <c r="T39" s="62">
        <f t="shared" si="15"/>
        <v>698.0255340247077</v>
      </c>
      <c r="U39" s="62">
        <f t="shared" si="16"/>
        <v>622236</v>
      </c>
      <c r="V39" s="62">
        <f t="shared" si="17"/>
        <v>25.71</v>
      </c>
      <c r="W39" s="62">
        <f t="shared" si="18"/>
        <v>22310655</v>
      </c>
      <c r="X39" s="62">
        <f t="shared" si="19"/>
        <v>921.81</v>
      </c>
      <c r="Y39" s="64">
        <f t="shared" si="20"/>
        <v>1.314618</v>
      </c>
      <c r="Z39" s="61">
        <f t="shared" si="8"/>
        <v>4</v>
      </c>
      <c r="AA39" s="61"/>
      <c r="AB39" s="62">
        <v>213220450</v>
      </c>
      <c r="AC39" s="62">
        <v>111422680</v>
      </c>
      <c r="AD39" s="62">
        <f t="shared" si="21"/>
        <v>101797770</v>
      </c>
      <c r="AE39" s="102">
        <v>3.29</v>
      </c>
      <c r="AF39" s="62">
        <v>284534</v>
      </c>
      <c r="AG39" s="75">
        <v>19.18</v>
      </c>
      <c r="AH39" s="62">
        <v>1658767</v>
      </c>
      <c r="AI39" s="102">
        <v>0</v>
      </c>
      <c r="AJ39" s="102">
        <v>0</v>
      </c>
      <c r="AK39" s="61">
        <v>0</v>
      </c>
      <c r="AL39" s="62">
        <v>0</v>
      </c>
      <c r="AM39" s="62">
        <f t="shared" si="22"/>
        <v>1943301</v>
      </c>
      <c r="AN39" s="102">
        <v>0</v>
      </c>
      <c r="AO39" s="62">
        <v>0</v>
      </c>
      <c r="AP39" s="102">
        <v>14.26</v>
      </c>
      <c r="AQ39" s="102">
        <v>59.86</v>
      </c>
      <c r="AR39" s="61">
        <v>10</v>
      </c>
      <c r="AS39" s="62">
        <v>2850806</v>
      </c>
      <c r="AT39" s="62">
        <f t="shared" si="23"/>
        <v>2850806</v>
      </c>
      <c r="AU39" s="102">
        <f t="shared" si="24"/>
        <v>22.47</v>
      </c>
      <c r="AV39" s="62">
        <f t="shared" si="24"/>
        <v>1943301</v>
      </c>
      <c r="AW39" s="62">
        <f t="shared" si="25"/>
        <v>2850806</v>
      </c>
      <c r="AX39" s="62">
        <f t="shared" si="26"/>
        <v>4794107</v>
      </c>
      <c r="AY39" s="380">
        <f t="shared" si="27"/>
        <v>28.005</v>
      </c>
      <c r="AZ39" s="380">
        <f t="shared" si="28"/>
        <v>19.09</v>
      </c>
      <c r="BA39" s="380">
        <f t="shared" si="29"/>
        <v>47.094</v>
      </c>
      <c r="BB39" s="66">
        <v>0.025</v>
      </c>
      <c r="BC39" s="62">
        <v>16894312</v>
      </c>
      <c r="BD39" s="62">
        <v>0</v>
      </c>
      <c r="BE39" s="62">
        <f t="shared" si="30"/>
        <v>16894312</v>
      </c>
      <c r="BF39" s="62">
        <f t="shared" si="31"/>
        <v>675772480</v>
      </c>
      <c r="BG39" s="66">
        <f t="shared" si="32"/>
        <v>0.025</v>
      </c>
      <c r="BH39" s="66">
        <f t="shared" si="33"/>
        <v>0</v>
      </c>
      <c r="BI39" s="62">
        <f t="shared" si="34"/>
        <v>22310655</v>
      </c>
    </row>
    <row r="40" spans="2:61" ht="12.75">
      <c r="B40" s="60">
        <v>33</v>
      </c>
      <c r="C40" s="61" t="s">
        <v>35</v>
      </c>
      <c r="D40" s="61">
        <f>'Table 4 Formula'!U40</f>
        <v>3616</v>
      </c>
      <c r="E40" s="62">
        <f aca="true" t="shared" si="35" ref="E40:E73">ROUND(BA$75*AD40/1000,0)</f>
        <v>1631804</v>
      </c>
      <c r="F40" s="62">
        <f t="shared" si="9"/>
        <v>451.27</v>
      </c>
      <c r="G40" s="62">
        <f aca="true" t="shared" si="36" ref="G40:G73">ROUND(BB$75*BF40,0)</f>
        <v>1575089</v>
      </c>
      <c r="H40" s="62">
        <f t="shared" si="10"/>
        <v>435.59</v>
      </c>
      <c r="I40" s="62">
        <v>71074.5</v>
      </c>
      <c r="J40" s="62">
        <f t="shared" si="11"/>
        <v>19.66</v>
      </c>
      <c r="K40" s="62">
        <f t="shared" si="12"/>
        <v>3277967.5</v>
      </c>
      <c r="L40" s="62">
        <f t="shared" si="13"/>
        <v>906.52</v>
      </c>
      <c r="M40" s="76">
        <f aca="true" t="shared" si="37" ref="M40:M71">ROUND(L40/L$75,8)</f>
        <v>0.5250866</v>
      </c>
      <c r="N40" s="61">
        <f aca="true" t="shared" si="38" ref="N40:N71">RANK(M40,M$8:M$73,0)</f>
        <v>55</v>
      </c>
      <c r="O40" s="75">
        <f aca="true" t="shared" si="39" ref="O40:O73">BA40</f>
        <v>9.539</v>
      </c>
      <c r="P40" s="62">
        <f aca="true" t="shared" si="40" ref="P40:P73">AX40</f>
        <v>378632</v>
      </c>
      <c r="Q40" s="62">
        <f t="shared" si="14"/>
        <v>104.71</v>
      </c>
      <c r="R40" s="66">
        <f aca="true" t="shared" si="41" ref="R40:R73">BB40</f>
        <v>0.015</v>
      </c>
      <c r="S40" s="62">
        <f aca="true" t="shared" si="42" ref="S40:S73">BE40</f>
        <v>1312574</v>
      </c>
      <c r="T40" s="62">
        <f t="shared" si="15"/>
        <v>362.99059734513276</v>
      </c>
      <c r="U40" s="62">
        <f t="shared" si="16"/>
        <v>71074.5</v>
      </c>
      <c r="V40" s="62">
        <f t="shared" si="17"/>
        <v>19.66</v>
      </c>
      <c r="W40" s="62">
        <f t="shared" si="18"/>
        <v>1762280.5</v>
      </c>
      <c r="X40" s="62">
        <f t="shared" si="19"/>
        <v>487.36</v>
      </c>
      <c r="Y40" s="64">
        <f t="shared" si="20"/>
        <v>0.537616</v>
      </c>
      <c r="Z40" s="61">
        <f aca="true" t="shared" si="43" ref="Z40:Z71">RANK(Y40,Y$8:Y$73,0)</f>
        <v>64</v>
      </c>
      <c r="AA40" s="61"/>
      <c r="AB40" s="62">
        <v>49460704</v>
      </c>
      <c r="AC40" s="62">
        <v>9767108</v>
      </c>
      <c r="AD40" s="62">
        <f t="shared" si="21"/>
        <v>39693596</v>
      </c>
      <c r="AE40" s="102">
        <v>4.76</v>
      </c>
      <c r="AF40" s="62">
        <v>189316</v>
      </c>
      <c r="AG40" s="75">
        <v>4.76</v>
      </c>
      <c r="AH40" s="62">
        <v>189316</v>
      </c>
      <c r="AI40" s="102">
        <v>0</v>
      </c>
      <c r="AJ40" s="102">
        <v>0</v>
      </c>
      <c r="AK40" s="61">
        <v>0</v>
      </c>
      <c r="AL40" s="62">
        <v>0</v>
      </c>
      <c r="AM40" s="62">
        <f t="shared" si="22"/>
        <v>378632</v>
      </c>
      <c r="AN40" s="102">
        <v>0</v>
      </c>
      <c r="AO40" s="62">
        <v>0</v>
      </c>
      <c r="AP40" s="102">
        <v>0</v>
      </c>
      <c r="AQ40" s="102">
        <v>0</v>
      </c>
      <c r="AR40" s="61">
        <v>0</v>
      </c>
      <c r="AS40" s="62">
        <v>0</v>
      </c>
      <c r="AT40" s="62">
        <f t="shared" si="23"/>
        <v>0</v>
      </c>
      <c r="AU40" s="102">
        <f t="shared" si="24"/>
        <v>9.52</v>
      </c>
      <c r="AV40" s="62">
        <f t="shared" si="24"/>
        <v>378632</v>
      </c>
      <c r="AW40" s="62">
        <f t="shared" si="25"/>
        <v>0</v>
      </c>
      <c r="AX40" s="62">
        <f t="shared" si="26"/>
        <v>378632</v>
      </c>
      <c r="AY40" s="380">
        <f t="shared" si="27"/>
        <v>0</v>
      </c>
      <c r="AZ40" s="380">
        <f t="shared" si="28"/>
        <v>9.539</v>
      </c>
      <c r="BA40" s="380">
        <f t="shared" si="29"/>
        <v>9.539</v>
      </c>
      <c r="BB40" s="66">
        <v>0.015</v>
      </c>
      <c r="BC40" s="62">
        <v>1312574</v>
      </c>
      <c r="BD40" s="62">
        <v>0</v>
      </c>
      <c r="BE40" s="62">
        <f t="shared" si="30"/>
        <v>1312574</v>
      </c>
      <c r="BF40" s="62">
        <f t="shared" si="31"/>
        <v>87504933</v>
      </c>
      <c r="BG40" s="66">
        <f t="shared" si="32"/>
        <v>0.015</v>
      </c>
      <c r="BH40" s="66">
        <f t="shared" si="33"/>
        <v>0</v>
      </c>
      <c r="BI40" s="62">
        <f t="shared" si="34"/>
        <v>1762280.5</v>
      </c>
    </row>
    <row r="41" spans="2:61" ht="12.75">
      <c r="B41" s="60">
        <v>34</v>
      </c>
      <c r="C41" s="61" t="s">
        <v>36</v>
      </c>
      <c r="D41" s="61">
        <f>'Table 4 Formula'!U41</f>
        <v>7630</v>
      </c>
      <c r="E41" s="62">
        <f t="shared" si="35"/>
        <v>3955638</v>
      </c>
      <c r="F41" s="62">
        <f t="shared" si="9"/>
        <v>518.43</v>
      </c>
      <c r="G41" s="62">
        <f t="shared" si="36"/>
        <v>5177297</v>
      </c>
      <c r="H41" s="62">
        <f t="shared" si="10"/>
        <v>678.54</v>
      </c>
      <c r="I41" s="62">
        <v>283243</v>
      </c>
      <c r="J41" s="62">
        <f t="shared" si="11"/>
        <v>37.12</v>
      </c>
      <c r="K41" s="62">
        <f t="shared" si="12"/>
        <v>9416178</v>
      </c>
      <c r="L41" s="62">
        <f t="shared" si="13"/>
        <v>1234.1</v>
      </c>
      <c r="M41" s="76">
        <f t="shared" si="37"/>
        <v>0.71483185</v>
      </c>
      <c r="N41" s="61">
        <f t="shared" si="38"/>
        <v>34</v>
      </c>
      <c r="O41" s="75">
        <f t="shared" si="39"/>
        <v>28.152</v>
      </c>
      <c r="P41" s="62">
        <f t="shared" si="40"/>
        <v>2708846</v>
      </c>
      <c r="Q41" s="62">
        <f t="shared" si="14"/>
        <v>355.03</v>
      </c>
      <c r="R41" s="66">
        <f t="shared" si="41"/>
        <v>0.015</v>
      </c>
      <c r="S41" s="62">
        <f t="shared" si="42"/>
        <v>4314414</v>
      </c>
      <c r="T41" s="62">
        <f t="shared" si="15"/>
        <v>565.453997378768</v>
      </c>
      <c r="U41" s="62">
        <f t="shared" si="16"/>
        <v>283243</v>
      </c>
      <c r="V41" s="62">
        <f t="shared" si="17"/>
        <v>37.12</v>
      </c>
      <c r="W41" s="62">
        <f t="shared" si="18"/>
        <v>7306503</v>
      </c>
      <c r="X41" s="62">
        <f t="shared" si="19"/>
        <v>957.6</v>
      </c>
      <c r="Y41" s="64">
        <f t="shared" si="20"/>
        <v>0.77595</v>
      </c>
      <c r="Z41" s="61">
        <f t="shared" si="43"/>
        <v>50</v>
      </c>
      <c r="AA41" s="61"/>
      <c r="AB41" s="62">
        <v>124462820</v>
      </c>
      <c r="AC41" s="62">
        <v>28241990</v>
      </c>
      <c r="AD41" s="62">
        <f t="shared" si="21"/>
        <v>96220830</v>
      </c>
      <c r="AE41" s="102">
        <v>5.57</v>
      </c>
      <c r="AF41" s="62">
        <v>545533</v>
      </c>
      <c r="AG41" s="75">
        <v>23.29</v>
      </c>
      <c r="AH41" s="62">
        <v>2163313</v>
      </c>
      <c r="AI41" s="102">
        <v>0</v>
      </c>
      <c r="AJ41" s="102">
        <v>0</v>
      </c>
      <c r="AK41" s="61">
        <v>0</v>
      </c>
      <c r="AL41" s="62">
        <v>0</v>
      </c>
      <c r="AM41" s="62">
        <f t="shared" si="22"/>
        <v>2708846</v>
      </c>
      <c r="AN41" s="102">
        <v>0</v>
      </c>
      <c r="AO41" s="62">
        <v>0</v>
      </c>
      <c r="AP41" s="102">
        <v>0</v>
      </c>
      <c r="AQ41" s="102">
        <v>0</v>
      </c>
      <c r="AR41" s="61">
        <v>0</v>
      </c>
      <c r="AS41" s="62">
        <v>0</v>
      </c>
      <c r="AT41" s="62">
        <f t="shared" si="23"/>
        <v>0</v>
      </c>
      <c r="AU41" s="102">
        <f t="shared" si="24"/>
        <v>28.86</v>
      </c>
      <c r="AV41" s="62">
        <f t="shared" si="24"/>
        <v>2708846</v>
      </c>
      <c r="AW41" s="62">
        <f t="shared" si="25"/>
        <v>0</v>
      </c>
      <c r="AX41" s="62">
        <f t="shared" si="26"/>
        <v>2708846</v>
      </c>
      <c r="AY41" s="380">
        <f t="shared" si="27"/>
        <v>0</v>
      </c>
      <c r="AZ41" s="380">
        <f t="shared" si="28"/>
        <v>28.152</v>
      </c>
      <c r="BA41" s="380">
        <f t="shared" si="29"/>
        <v>28.152</v>
      </c>
      <c r="BB41" s="66">
        <v>0.015</v>
      </c>
      <c r="BC41" s="62">
        <v>4314414</v>
      </c>
      <c r="BD41" s="62">
        <v>0</v>
      </c>
      <c r="BE41" s="62">
        <f t="shared" si="30"/>
        <v>4314414</v>
      </c>
      <c r="BF41" s="62">
        <f t="shared" si="31"/>
        <v>287627600</v>
      </c>
      <c r="BG41" s="66">
        <f t="shared" si="32"/>
        <v>0.015</v>
      </c>
      <c r="BH41" s="66">
        <f t="shared" si="33"/>
        <v>0</v>
      </c>
      <c r="BI41" s="62">
        <f t="shared" si="34"/>
        <v>7306503</v>
      </c>
    </row>
    <row r="42" spans="2:61" ht="12.75">
      <c r="B42" s="83">
        <v>35</v>
      </c>
      <c r="C42" s="84" t="s">
        <v>37</v>
      </c>
      <c r="D42" s="84">
        <f>'Table 4 Formula'!U42</f>
        <v>9217</v>
      </c>
      <c r="E42" s="85">
        <f t="shared" si="35"/>
        <v>4122809</v>
      </c>
      <c r="F42" s="85">
        <f t="shared" si="9"/>
        <v>447.3</v>
      </c>
      <c r="G42" s="85">
        <f t="shared" si="36"/>
        <v>7688214</v>
      </c>
      <c r="H42" s="85">
        <f t="shared" si="10"/>
        <v>834.13</v>
      </c>
      <c r="I42" s="85">
        <v>581311.5</v>
      </c>
      <c r="J42" s="85">
        <f t="shared" si="11"/>
        <v>63.07</v>
      </c>
      <c r="K42" s="85">
        <f t="shared" si="12"/>
        <v>12392334.5</v>
      </c>
      <c r="L42" s="85">
        <f t="shared" si="13"/>
        <v>1344.51</v>
      </c>
      <c r="M42" s="94">
        <f t="shared" si="37"/>
        <v>0.778785</v>
      </c>
      <c r="N42" s="84">
        <f t="shared" si="38"/>
        <v>30</v>
      </c>
      <c r="O42" s="93">
        <f t="shared" si="39"/>
        <v>50.555</v>
      </c>
      <c r="P42" s="85">
        <f t="shared" si="40"/>
        <v>5070002</v>
      </c>
      <c r="Q42" s="85">
        <f t="shared" si="14"/>
        <v>550.07</v>
      </c>
      <c r="R42" s="90">
        <f t="shared" si="41"/>
        <v>0.015</v>
      </c>
      <c r="S42" s="85">
        <f t="shared" si="42"/>
        <v>6406845</v>
      </c>
      <c r="T42" s="85">
        <f t="shared" si="15"/>
        <v>695.1117500271238</v>
      </c>
      <c r="U42" s="85">
        <f t="shared" si="16"/>
        <v>581311.5</v>
      </c>
      <c r="V42" s="85">
        <f t="shared" si="17"/>
        <v>63.07</v>
      </c>
      <c r="W42" s="85">
        <f t="shared" si="18"/>
        <v>12058158.5</v>
      </c>
      <c r="X42" s="85">
        <f t="shared" si="19"/>
        <v>1308.25</v>
      </c>
      <c r="Y42" s="88">
        <f t="shared" si="20"/>
        <v>0.973031</v>
      </c>
      <c r="Z42" s="84">
        <f t="shared" si="43"/>
        <v>37</v>
      </c>
      <c r="AA42" s="84"/>
      <c r="AB42" s="85">
        <v>136400670</v>
      </c>
      <c r="AC42" s="85">
        <v>36113420</v>
      </c>
      <c r="AD42" s="85">
        <f t="shared" si="21"/>
        <v>100287250</v>
      </c>
      <c r="AE42" s="103">
        <v>4.65</v>
      </c>
      <c r="AF42" s="85">
        <v>467585</v>
      </c>
      <c r="AG42" s="93">
        <v>7</v>
      </c>
      <c r="AH42" s="85">
        <v>703891</v>
      </c>
      <c r="AI42" s="103">
        <v>6.98</v>
      </c>
      <c r="AJ42" s="103">
        <v>7</v>
      </c>
      <c r="AK42" s="84">
        <v>5</v>
      </c>
      <c r="AL42" s="85">
        <v>688026</v>
      </c>
      <c r="AM42" s="85">
        <f t="shared" si="22"/>
        <v>1859502</v>
      </c>
      <c r="AN42" s="103">
        <v>0</v>
      </c>
      <c r="AO42" s="85">
        <v>0</v>
      </c>
      <c r="AP42" s="103">
        <v>27</v>
      </c>
      <c r="AQ42" s="103">
        <v>53</v>
      </c>
      <c r="AR42" s="84">
        <v>3</v>
      </c>
      <c r="AS42" s="85">
        <v>3210500</v>
      </c>
      <c r="AT42" s="85">
        <f t="shared" si="23"/>
        <v>3210500</v>
      </c>
      <c r="AU42" s="103">
        <f t="shared" si="24"/>
        <v>11.65</v>
      </c>
      <c r="AV42" s="85">
        <f t="shared" si="24"/>
        <v>1171476</v>
      </c>
      <c r="AW42" s="85">
        <f t="shared" si="25"/>
        <v>3898526</v>
      </c>
      <c r="AX42" s="85">
        <f t="shared" si="26"/>
        <v>5070002</v>
      </c>
      <c r="AY42" s="381">
        <f t="shared" si="27"/>
        <v>32.013</v>
      </c>
      <c r="AZ42" s="381">
        <f t="shared" si="28"/>
        <v>18.542</v>
      </c>
      <c r="BA42" s="381">
        <f t="shared" si="29"/>
        <v>50.555</v>
      </c>
      <c r="BB42" s="90">
        <v>0.015</v>
      </c>
      <c r="BC42" s="85">
        <v>6406845</v>
      </c>
      <c r="BD42" s="85">
        <v>0</v>
      </c>
      <c r="BE42" s="85">
        <f t="shared" si="30"/>
        <v>6406845</v>
      </c>
      <c r="BF42" s="85">
        <f t="shared" si="31"/>
        <v>427123000</v>
      </c>
      <c r="BG42" s="90">
        <f t="shared" si="32"/>
        <v>0.015</v>
      </c>
      <c r="BH42" s="90">
        <f t="shared" si="33"/>
        <v>0</v>
      </c>
      <c r="BI42" s="85">
        <f t="shared" si="34"/>
        <v>12058158.5</v>
      </c>
    </row>
    <row r="43" spans="2:61" ht="12.75">
      <c r="B43" s="60">
        <v>36</v>
      </c>
      <c r="C43" s="61" t="s">
        <v>38</v>
      </c>
      <c r="D43" s="61">
        <f>'Table 4 Formula'!U43</f>
        <v>99758</v>
      </c>
      <c r="E43" s="62">
        <f t="shared" si="35"/>
        <v>69909630</v>
      </c>
      <c r="F43" s="62">
        <f t="shared" si="9"/>
        <v>700.79</v>
      </c>
      <c r="G43" s="62">
        <f t="shared" si="36"/>
        <v>105481918</v>
      </c>
      <c r="H43" s="62">
        <f t="shared" si="10"/>
        <v>1057.38</v>
      </c>
      <c r="I43" s="62">
        <v>3446497</v>
      </c>
      <c r="J43" s="62">
        <f t="shared" si="11"/>
        <v>34.55</v>
      </c>
      <c r="K43" s="62">
        <f t="shared" si="12"/>
        <v>178838045</v>
      </c>
      <c r="L43" s="62">
        <f t="shared" si="13"/>
        <v>1792.72</v>
      </c>
      <c r="M43" s="76">
        <f t="shared" si="37"/>
        <v>1.03840317</v>
      </c>
      <c r="N43" s="61">
        <f t="shared" si="38"/>
        <v>16</v>
      </c>
      <c r="O43" s="75">
        <f t="shared" si="39"/>
        <v>49.413</v>
      </c>
      <c r="P43" s="62">
        <f t="shared" si="40"/>
        <v>84029354</v>
      </c>
      <c r="Q43" s="62">
        <f t="shared" si="14"/>
        <v>842.33</v>
      </c>
      <c r="R43" s="66">
        <f t="shared" si="41"/>
        <v>0.015</v>
      </c>
      <c r="S43" s="62">
        <f t="shared" si="42"/>
        <v>87901598</v>
      </c>
      <c r="T43" s="62">
        <f t="shared" si="15"/>
        <v>881.1483590288498</v>
      </c>
      <c r="U43" s="62">
        <f t="shared" si="16"/>
        <v>3446497</v>
      </c>
      <c r="V43" s="62">
        <f t="shared" si="17"/>
        <v>34.55</v>
      </c>
      <c r="W43" s="62">
        <f t="shared" si="18"/>
        <v>175377449</v>
      </c>
      <c r="X43" s="62">
        <f t="shared" si="19"/>
        <v>1758.03</v>
      </c>
      <c r="Y43" s="64">
        <f t="shared" si="20"/>
        <v>0.98065</v>
      </c>
      <c r="Z43" s="61">
        <f t="shared" si="43"/>
        <v>33</v>
      </c>
      <c r="AA43" s="61"/>
      <c r="AB43" s="62">
        <v>2173287102</v>
      </c>
      <c r="AC43" s="62">
        <v>472736617</v>
      </c>
      <c r="AD43" s="62">
        <f t="shared" si="21"/>
        <v>1700550485</v>
      </c>
      <c r="AE43" s="102">
        <v>27.65</v>
      </c>
      <c r="AF43" s="62">
        <v>44029354</v>
      </c>
      <c r="AG43" s="75">
        <v>14.26</v>
      </c>
      <c r="AH43" s="62">
        <v>23926398</v>
      </c>
      <c r="AI43" s="102">
        <v>0</v>
      </c>
      <c r="AJ43" s="102">
        <v>0</v>
      </c>
      <c r="AK43" s="61">
        <v>7</v>
      </c>
      <c r="AL43" s="62">
        <v>0</v>
      </c>
      <c r="AM43" s="62">
        <f t="shared" si="22"/>
        <v>67955752</v>
      </c>
      <c r="AN43" s="102">
        <v>10.79</v>
      </c>
      <c r="AO43" s="62">
        <v>16073602</v>
      </c>
      <c r="AP43" s="102">
        <v>0</v>
      </c>
      <c r="AQ43" s="102">
        <v>0</v>
      </c>
      <c r="AR43" s="61">
        <v>7</v>
      </c>
      <c r="AS43" s="62">
        <v>0</v>
      </c>
      <c r="AT43" s="62">
        <f t="shared" si="23"/>
        <v>16073602</v>
      </c>
      <c r="AU43" s="102">
        <f t="shared" si="24"/>
        <v>52.699999999999996</v>
      </c>
      <c r="AV43" s="62">
        <f t="shared" si="24"/>
        <v>84029354</v>
      </c>
      <c r="AW43" s="62">
        <f t="shared" si="25"/>
        <v>0</v>
      </c>
      <c r="AX43" s="62">
        <f t="shared" si="26"/>
        <v>84029354</v>
      </c>
      <c r="AY43" s="380">
        <f t="shared" si="27"/>
        <v>9.452</v>
      </c>
      <c r="AZ43" s="380">
        <f t="shared" si="28"/>
        <v>39.961</v>
      </c>
      <c r="BA43" s="380">
        <f t="shared" si="29"/>
        <v>49.413</v>
      </c>
      <c r="BB43" s="66">
        <v>0.015</v>
      </c>
      <c r="BC43" s="62">
        <v>79601687</v>
      </c>
      <c r="BD43" s="62">
        <v>8299911</v>
      </c>
      <c r="BE43" s="62">
        <f t="shared" si="30"/>
        <v>87901598</v>
      </c>
      <c r="BF43" s="62">
        <f t="shared" si="31"/>
        <v>5860106533</v>
      </c>
      <c r="BG43" s="66">
        <f t="shared" si="32"/>
        <v>0.0136</v>
      </c>
      <c r="BH43" s="66">
        <f t="shared" si="33"/>
        <v>0.0014</v>
      </c>
      <c r="BI43" s="62">
        <f t="shared" si="34"/>
        <v>175377449</v>
      </c>
    </row>
    <row r="44" spans="2:61" ht="12.75">
      <c r="B44" s="60">
        <v>37</v>
      </c>
      <c r="C44" s="61" t="s">
        <v>39</v>
      </c>
      <c r="D44" s="61">
        <f>'Table 4 Formula'!U44</f>
        <v>22257</v>
      </c>
      <c r="E44" s="62">
        <f t="shared" si="35"/>
        <v>10509555</v>
      </c>
      <c r="F44" s="62">
        <f t="shared" si="9"/>
        <v>472.19</v>
      </c>
      <c r="G44" s="62">
        <f t="shared" si="36"/>
        <v>16099804</v>
      </c>
      <c r="H44" s="62">
        <f t="shared" si="10"/>
        <v>723.36</v>
      </c>
      <c r="I44" s="62">
        <v>771165</v>
      </c>
      <c r="J44" s="62">
        <f t="shared" si="11"/>
        <v>34.65</v>
      </c>
      <c r="K44" s="62">
        <f t="shared" si="12"/>
        <v>27380524</v>
      </c>
      <c r="L44" s="62">
        <f t="shared" si="13"/>
        <v>1230.2</v>
      </c>
      <c r="M44" s="76">
        <f t="shared" si="37"/>
        <v>0.71257284</v>
      </c>
      <c r="N44" s="61">
        <f t="shared" si="38"/>
        <v>36</v>
      </c>
      <c r="O44" s="75">
        <f t="shared" si="39"/>
        <v>51.802</v>
      </c>
      <c r="P44" s="62">
        <f t="shared" si="40"/>
        <v>13242830</v>
      </c>
      <c r="Q44" s="62">
        <f t="shared" si="14"/>
        <v>595</v>
      </c>
      <c r="R44" s="66">
        <f t="shared" si="41"/>
        <v>0.03</v>
      </c>
      <c r="S44" s="62">
        <f t="shared" si="42"/>
        <v>26833006</v>
      </c>
      <c r="T44" s="62">
        <f t="shared" si="15"/>
        <v>1205.5985083344565</v>
      </c>
      <c r="U44" s="62">
        <f t="shared" si="16"/>
        <v>771165</v>
      </c>
      <c r="V44" s="62">
        <f t="shared" si="17"/>
        <v>34.65</v>
      </c>
      <c r="W44" s="62">
        <f t="shared" si="18"/>
        <v>40847001</v>
      </c>
      <c r="X44" s="62">
        <f t="shared" si="19"/>
        <v>1835.24</v>
      </c>
      <c r="Y44" s="64">
        <f t="shared" si="20"/>
        <v>1.491822</v>
      </c>
      <c r="Z44" s="61">
        <f t="shared" si="43"/>
        <v>2</v>
      </c>
      <c r="AA44" s="61"/>
      <c r="AB44" s="62">
        <v>367525849</v>
      </c>
      <c r="AC44" s="62">
        <v>111881117</v>
      </c>
      <c r="AD44" s="62">
        <f t="shared" si="21"/>
        <v>255644732</v>
      </c>
      <c r="AE44" s="102">
        <v>5.25</v>
      </c>
      <c r="AF44" s="62">
        <v>1371214</v>
      </c>
      <c r="AG44" s="75">
        <v>24.45</v>
      </c>
      <c r="AH44" s="62">
        <v>6385743</v>
      </c>
      <c r="AI44" s="102">
        <v>0</v>
      </c>
      <c r="AJ44" s="102">
        <v>0</v>
      </c>
      <c r="AK44" s="61">
        <v>0</v>
      </c>
      <c r="AL44" s="62">
        <v>0</v>
      </c>
      <c r="AM44" s="62">
        <f t="shared" si="22"/>
        <v>7756957</v>
      </c>
      <c r="AN44" s="102">
        <v>0</v>
      </c>
      <c r="AO44" s="62">
        <v>0</v>
      </c>
      <c r="AP44" s="102">
        <v>19.3</v>
      </c>
      <c r="AQ44" s="102">
        <v>25</v>
      </c>
      <c r="AR44" s="61">
        <v>1</v>
      </c>
      <c r="AS44" s="62">
        <v>5485873</v>
      </c>
      <c r="AT44" s="62">
        <f t="shared" si="23"/>
        <v>5485873</v>
      </c>
      <c r="AU44" s="102">
        <f t="shared" si="24"/>
        <v>29.7</v>
      </c>
      <c r="AV44" s="62">
        <f t="shared" si="24"/>
        <v>7756957</v>
      </c>
      <c r="AW44" s="62">
        <f t="shared" si="25"/>
        <v>5485873</v>
      </c>
      <c r="AX44" s="62">
        <f t="shared" si="26"/>
        <v>13242830</v>
      </c>
      <c r="AY44" s="380">
        <f t="shared" si="27"/>
        <v>21.459</v>
      </c>
      <c r="AZ44" s="380">
        <f t="shared" si="28"/>
        <v>30.343</v>
      </c>
      <c r="BA44" s="380">
        <f t="shared" si="29"/>
        <v>51.802</v>
      </c>
      <c r="BB44" s="66">
        <v>0.03</v>
      </c>
      <c r="BC44" s="62">
        <v>26833006</v>
      </c>
      <c r="BD44" s="62">
        <v>0</v>
      </c>
      <c r="BE44" s="62">
        <f t="shared" si="30"/>
        <v>26833006</v>
      </c>
      <c r="BF44" s="62">
        <f t="shared" si="31"/>
        <v>894433533</v>
      </c>
      <c r="BG44" s="66">
        <f t="shared" si="32"/>
        <v>0.03</v>
      </c>
      <c r="BH44" s="66">
        <f t="shared" si="33"/>
        <v>0</v>
      </c>
      <c r="BI44" s="62">
        <f t="shared" si="34"/>
        <v>40847001</v>
      </c>
    </row>
    <row r="45" spans="2:61" ht="12.75">
      <c r="B45" s="60">
        <v>38</v>
      </c>
      <c r="C45" s="61" t="s">
        <v>40</v>
      </c>
      <c r="D45" s="61">
        <f>'Table 4 Formula'!U45</f>
        <v>6512</v>
      </c>
      <c r="E45" s="62">
        <f t="shared" si="35"/>
        <v>18381043</v>
      </c>
      <c r="F45" s="62">
        <f t="shared" si="9"/>
        <v>2822.64</v>
      </c>
      <c r="G45" s="62">
        <f t="shared" si="36"/>
        <v>9109540</v>
      </c>
      <c r="H45" s="62">
        <f t="shared" si="10"/>
        <v>1398.89</v>
      </c>
      <c r="I45" s="62">
        <v>141758.5</v>
      </c>
      <c r="J45" s="62">
        <f t="shared" si="11"/>
        <v>21.77</v>
      </c>
      <c r="K45" s="62">
        <f t="shared" si="12"/>
        <v>27632341.5</v>
      </c>
      <c r="L45" s="62">
        <f t="shared" si="13"/>
        <v>4243.3</v>
      </c>
      <c r="M45" s="76">
        <f t="shared" si="37"/>
        <v>2.45786078</v>
      </c>
      <c r="N45" s="61">
        <f t="shared" si="38"/>
        <v>2</v>
      </c>
      <c r="O45" s="75">
        <f t="shared" si="39"/>
        <v>14.704</v>
      </c>
      <c r="P45" s="62">
        <f t="shared" si="40"/>
        <v>6574550</v>
      </c>
      <c r="Q45" s="62">
        <f t="shared" si="14"/>
        <v>1009.61</v>
      </c>
      <c r="R45" s="66">
        <f t="shared" si="41"/>
        <v>0.02</v>
      </c>
      <c r="S45" s="62">
        <f t="shared" si="42"/>
        <v>10121711</v>
      </c>
      <c r="T45" s="62">
        <f t="shared" si="15"/>
        <v>1554.3167997542998</v>
      </c>
      <c r="U45" s="62">
        <f t="shared" si="16"/>
        <v>141758.5</v>
      </c>
      <c r="V45" s="62">
        <f t="shared" si="17"/>
        <v>21.77</v>
      </c>
      <c r="W45" s="62">
        <f t="shared" si="18"/>
        <v>16838019.5</v>
      </c>
      <c r="X45" s="62">
        <f t="shared" si="19"/>
        <v>2585.69</v>
      </c>
      <c r="Y45" s="64">
        <f t="shared" si="20"/>
        <v>0.609358</v>
      </c>
      <c r="Z45" s="61">
        <f t="shared" si="43"/>
        <v>62</v>
      </c>
      <c r="AA45" s="61"/>
      <c r="AB45" s="62">
        <v>475441330</v>
      </c>
      <c r="AC45" s="62">
        <v>28322795</v>
      </c>
      <c r="AD45" s="62">
        <f t="shared" si="21"/>
        <v>447118535</v>
      </c>
      <c r="AE45" s="102">
        <v>5.8</v>
      </c>
      <c r="AF45" s="62">
        <v>2447522</v>
      </c>
      <c r="AG45" s="75">
        <v>7.18</v>
      </c>
      <c r="AH45" s="62">
        <v>3029863</v>
      </c>
      <c r="AI45" s="102">
        <v>0</v>
      </c>
      <c r="AJ45" s="102">
        <v>0</v>
      </c>
      <c r="AK45" s="61">
        <v>0</v>
      </c>
      <c r="AL45" s="62">
        <v>0</v>
      </c>
      <c r="AM45" s="62">
        <f t="shared" si="22"/>
        <v>5477385</v>
      </c>
      <c r="AN45" s="102">
        <v>2.6</v>
      </c>
      <c r="AO45" s="62">
        <v>1097165</v>
      </c>
      <c r="AP45" s="102">
        <v>0</v>
      </c>
      <c r="AQ45" s="102">
        <v>0</v>
      </c>
      <c r="AR45" s="61">
        <v>0</v>
      </c>
      <c r="AS45" s="62">
        <v>0</v>
      </c>
      <c r="AT45" s="62">
        <f t="shared" si="23"/>
        <v>1097165</v>
      </c>
      <c r="AU45" s="102">
        <f t="shared" si="24"/>
        <v>15.58</v>
      </c>
      <c r="AV45" s="62">
        <f t="shared" si="24"/>
        <v>6574550</v>
      </c>
      <c r="AW45" s="62">
        <f t="shared" si="25"/>
        <v>0</v>
      </c>
      <c r="AX45" s="62">
        <f t="shared" si="26"/>
        <v>6574550</v>
      </c>
      <c r="AY45" s="380">
        <f t="shared" si="27"/>
        <v>2.454</v>
      </c>
      <c r="AZ45" s="380">
        <f t="shared" si="28"/>
        <v>12.25</v>
      </c>
      <c r="BA45" s="380">
        <f t="shared" si="29"/>
        <v>14.704</v>
      </c>
      <c r="BB45" s="66">
        <v>0.02</v>
      </c>
      <c r="BC45" s="62">
        <v>9003762</v>
      </c>
      <c r="BD45" s="62">
        <v>1117949</v>
      </c>
      <c r="BE45" s="62">
        <f t="shared" si="30"/>
        <v>10121711</v>
      </c>
      <c r="BF45" s="62">
        <f t="shared" si="31"/>
        <v>506085550</v>
      </c>
      <c r="BG45" s="66">
        <f t="shared" si="32"/>
        <v>0.0178</v>
      </c>
      <c r="BH45" s="66">
        <f t="shared" si="33"/>
        <v>0.0022</v>
      </c>
      <c r="BI45" s="62">
        <f t="shared" si="34"/>
        <v>16838019.5</v>
      </c>
    </row>
    <row r="46" spans="2:61" ht="12.75">
      <c r="B46" s="60">
        <v>39</v>
      </c>
      <c r="C46" s="61" t="s">
        <v>41</v>
      </c>
      <c r="D46" s="61">
        <f>'Table 4 Formula'!U46</f>
        <v>4978</v>
      </c>
      <c r="E46" s="62">
        <f t="shared" si="35"/>
        <v>7792095</v>
      </c>
      <c r="F46" s="62">
        <f t="shared" si="9"/>
        <v>1565.31</v>
      </c>
      <c r="G46" s="62">
        <f t="shared" si="36"/>
        <v>3504993</v>
      </c>
      <c r="H46" s="62">
        <f t="shared" si="10"/>
        <v>704.1</v>
      </c>
      <c r="I46" s="62">
        <v>162290.5</v>
      </c>
      <c r="J46" s="62">
        <f t="shared" si="11"/>
        <v>32.6</v>
      </c>
      <c r="K46" s="62">
        <f t="shared" si="12"/>
        <v>11459378.5</v>
      </c>
      <c r="L46" s="62">
        <f t="shared" si="13"/>
        <v>2302</v>
      </c>
      <c r="M46" s="76">
        <f t="shared" si="37"/>
        <v>1.33339512</v>
      </c>
      <c r="N46" s="61">
        <f t="shared" si="38"/>
        <v>9</v>
      </c>
      <c r="O46" s="75">
        <f t="shared" si="39"/>
        <v>23.449</v>
      </c>
      <c r="P46" s="62">
        <f t="shared" si="40"/>
        <v>4444568</v>
      </c>
      <c r="Q46" s="62">
        <f t="shared" si="14"/>
        <v>892.84</v>
      </c>
      <c r="R46" s="66">
        <f t="shared" si="41"/>
        <v>0.0125</v>
      </c>
      <c r="S46" s="62">
        <f t="shared" si="42"/>
        <v>2434023</v>
      </c>
      <c r="T46" s="62">
        <f t="shared" si="15"/>
        <v>488.95600642828447</v>
      </c>
      <c r="U46" s="62">
        <f t="shared" si="16"/>
        <v>162290.5</v>
      </c>
      <c r="V46" s="62">
        <f t="shared" si="17"/>
        <v>32.6</v>
      </c>
      <c r="W46" s="62">
        <f t="shared" si="18"/>
        <v>7040881.5</v>
      </c>
      <c r="X46" s="62">
        <f t="shared" si="19"/>
        <v>1414.4</v>
      </c>
      <c r="Y46" s="64">
        <f t="shared" si="20"/>
        <v>0.614422</v>
      </c>
      <c r="Z46" s="61">
        <f t="shared" si="43"/>
        <v>61</v>
      </c>
      <c r="AA46" s="61"/>
      <c r="AB46" s="62">
        <v>217407936</v>
      </c>
      <c r="AC46" s="62">
        <v>27865368</v>
      </c>
      <c r="AD46" s="62">
        <f t="shared" si="21"/>
        <v>189542568</v>
      </c>
      <c r="AE46" s="102">
        <v>4.54</v>
      </c>
      <c r="AF46" s="62">
        <v>855392</v>
      </c>
      <c r="AG46" s="75">
        <v>11.96</v>
      </c>
      <c r="AH46" s="62">
        <v>2249744</v>
      </c>
      <c r="AI46" s="102">
        <v>0</v>
      </c>
      <c r="AJ46" s="102">
        <v>0</v>
      </c>
      <c r="AK46" s="61">
        <v>0</v>
      </c>
      <c r="AL46" s="62">
        <v>0</v>
      </c>
      <c r="AM46" s="62">
        <f t="shared" si="22"/>
        <v>3105136</v>
      </c>
      <c r="AN46" s="102">
        <v>0</v>
      </c>
      <c r="AO46" s="62">
        <v>0</v>
      </c>
      <c r="AP46" s="102">
        <v>6.9</v>
      </c>
      <c r="AQ46" s="102">
        <v>13.56</v>
      </c>
      <c r="AR46" s="61">
        <v>2</v>
      </c>
      <c r="AS46" s="62">
        <v>1339432</v>
      </c>
      <c r="AT46" s="62">
        <f t="shared" si="23"/>
        <v>1339432</v>
      </c>
      <c r="AU46" s="102">
        <f t="shared" si="24"/>
        <v>16.5</v>
      </c>
      <c r="AV46" s="62">
        <f t="shared" si="24"/>
        <v>3105136</v>
      </c>
      <c r="AW46" s="62">
        <f t="shared" si="25"/>
        <v>1339432</v>
      </c>
      <c r="AX46" s="62">
        <f t="shared" si="26"/>
        <v>4444568</v>
      </c>
      <c r="AY46" s="380">
        <f t="shared" si="27"/>
        <v>7.067</v>
      </c>
      <c r="AZ46" s="380">
        <f t="shared" si="28"/>
        <v>16.382</v>
      </c>
      <c r="BA46" s="380">
        <f t="shared" si="29"/>
        <v>23.449</v>
      </c>
      <c r="BB46" s="66">
        <v>0.0125</v>
      </c>
      <c r="BC46" s="62">
        <v>2434023</v>
      </c>
      <c r="BD46" s="62">
        <v>0</v>
      </c>
      <c r="BE46" s="62">
        <f t="shared" si="30"/>
        <v>2434023</v>
      </c>
      <c r="BF46" s="62">
        <f t="shared" si="31"/>
        <v>194721840</v>
      </c>
      <c r="BG46" s="66">
        <f t="shared" si="32"/>
        <v>0.0125</v>
      </c>
      <c r="BH46" s="66">
        <f t="shared" si="33"/>
        <v>0</v>
      </c>
      <c r="BI46" s="62">
        <f t="shared" si="34"/>
        <v>7040881.5</v>
      </c>
    </row>
    <row r="47" spans="2:61" ht="12.75">
      <c r="B47" s="83">
        <v>40</v>
      </c>
      <c r="C47" s="84" t="s">
        <v>42</v>
      </c>
      <c r="D47" s="84">
        <f>'Table 4 Formula'!U47</f>
        <v>30869</v>
      </c>
      <c r="E47" s="85">
        <f t="shared" si="35"/>
        <v>15516907</v>
      </c>
      <c r="F47" s="85">
        <f t="shared" si="9"/>
        <v>502.67</v>
      </c>
      <c r="G47" s="85">
        <f t="shared" si="36"/>
        <v>29772793</v>
      </c>
      <c r="H47" s="85">
        <f t="shared" si="10"/>
        <v>964.49</v>
      </c>
      <c r="I47" s="85">
        <v>1327107</v>
      </c>
      <c r="J47" s="85">
        <f t="shared" si="11"/>
        <v>42.99</v>
      </c>
      <c r="K47" s="85">
        <f t="shared" si="12"/>
        <v>46616807</v>
      </c>
      <c r="L47" s="85">
        <f t="shared" si="13"/>
        <v>1510.15</v>
      </c>
      <c r="M47" s="94">
        <f t="shared" si="37"/>
        <v>0.87472921</v>
      </c>
      <c r="N47" s="84">
        <f t="shared" si="38"/>
        <v>25</v>
      </c>
      <c r="O47" s="93">
        <f t="shared" si="39"/>
        <v>64.046</v>
      </c>
      <c r="P47" s="85">
        <f t="shared" si="40"/>
        <v>24174194</v>
      </c>
      <c r="Q47" s="85">
        <f t="shared" si="14"/>
        <v>783.12</v>
      </c>
      <c r="R47" s="90">
        <f t="shared" si="41"/>
        <v>0.015</v>
      </c>
      <c r="S47" s="85">
        <f t="shared" si="42"/>
        <v>24810661</v>
      </c>
      <c r="T47" s="85">
        <f t="shared" si="15"/>
        <v>803.7403544008553</v>
      </c>
      <c r="U47" s="85">
        <f t="shared" si="16"/>
        <v>1327107</v>
      </c>
      <c r="V47" s="85">
        <f t="shared" si="17"/>
        <v>42.99</v>
      </c>
      <c r="W47" s="85">
        <f t="shared" si="18"/>
        <v>50311962</v>
      </c>
      <c r="X47" s="85">
        <f t="shared" si="19"/>
        <v>1629.85</v>
      </c>
      <c r="Y47" s="88">
        <f t="shared" si="20"/>
        <v>1.079264</v>
      </c>
      <c r="Z47" s="84">
        <f t="shared" si="43"/>
        <v>18</v>
      </c>
      <c r="AA47" s="84"/>
      <c r="AB47" s="85">
        <v>513113967</v>
      </c>
      <c r="AC47" s="85">
        <v>135665491</v>
      </c>
      <c r="AD47" s="85">
        <f t="shared" si="21"/>
        <v>377448476</v>
      </c>
      <c r="AE47" s="103">
        <v>4.74</v>
      </c>
      <c r="AF47" s="85">
        <v>1785721</v>
      </c>
      <c r="AG47" s="93">
        <v>20.81</v>
      </c>
      <c r="AH47" s="85">
        <v>7830220</v>
      </c>
      <c r="AI47" s="103">
        <v>3.04</v>
      </c>
      <c r="AJ47" s="103">
        <v>24.05</v>
      </c>
      <c r="AK47" s="84">
        <v>13</v>
      </c>
      <c r="AL47" s="85">
        <v>3467211</v>
      </c>
      <c r="AM47" s="85">
        <f t="shared" si="22"/>
        <v>13083152</v>
      </c>
      <c r="AN47" s="103">
        <v>0</v>
      </c>
      <c r="AO47" s="85">
        <v>0</v>
      </c>
      <c r="AP47" s="103">
        <v>5.8</v>
      </c>
      <c r="AQ47" s="103">
        <v>86</v>
      </c>
      <c r="AR47" s="84">
        <v>12</v>
      </c>
      <c r="AS47" s="85">
        <v>11091042</v>
      </c>
      <c r="AT47" s="85">
        <f t="shared" si="23"/>
        <v>11091042</v>
      </c>
      <c r="AU47" s="103">
        <f t="shared" si="24"/>
        <v>25.549999999999997</v>
      </c>
      <c r="AV47" s="85">
        <f t="shared" si="24"/>
        <v>9615941</v>
      </c>
      <c r="AW47" s="85">
        <f t="shared" si="25"/>
        <v>14558253</v>
      </c>
      <c r="AX47" s="85">
        <f t="shared" si="26"/>
        <v>24174194</v>
      </c>
      <c r="AY47" s="381">
        <f t="shared" si="27"/>
        <v>29.384</v>
      </c>
      <c r="AZ47" s="381">
        <f t="shared" si="28"/>
        <v>34.662</v>
      </c>
      <c r="BA47" s="381">
        <f t="shared" si="29"/>
        <v>64.046</v>
      </c>
      <c r="BB47" s="90">
        <v>0.015</v>
      </c>
      <c r="BC47" s="85">
        <v>24810661</v>
      </c>
      <c r="BD47" s="85">
        <v>0</v>
      </c>
      <c r="BE47" s="85">
        <f t="shared" si="30"/>
        <v>24810661</v>
      </c>
      <c r="BF47" s="85">
        <f t="shared" si="31"/>
        <v>1654044067</v>
      </c>
      <c r="BG47" s="90">
        <f t="shared" si="32"/>
        <v>0.015</v>
      </c>
      <c r="BH47" s="90">
        <f t="shared" si="33"/>
        <v>0</v>
      </c>
      <c r="BI47" s="85">
        <f t="shared" si="34"/>
        <v>50311962</v>
      </c>
    </row>
    <row r="48" spans="2:61" ht="12.75">
      <c r="B48" s="60">
        <v>41</v>
      </c>
      <c r="C48" s="61" t="s">
        <v>43</v>
      </c>
      <c r="D48" s="61">
        <f>'Table 4 Formula'!U48</f>
        <v>2767</v>
      </c>
      <c r="E48" s="62">
        <f t="shared" si="35"/>
        <v>1061868</v>
      </c>
      <c r="F48" s="62">
        <f t="shared" si="9"/>
        <v>383.76</v>
      </c>
      <c r="G48" s="62">
        <f t="shared" si="36"/>
        <v>1091817</v>
      </c>
      <c r="H48" s="62">
        <f t="shared" si="10"/>
        <v>394.59</v>
      </c>
      <c r="I48" s="62">
        <v>48869</v>
      </c>
      <c r="J48" s="62">
        <f t="shared" si="11"/>
        <v>17.66</v>
      </c>
      <c r="K48" s="62">
        <f t="shared" si="12"/>
        <v>2202554</v>
      </c>
      <c r="L48" s="62">
        <f t="shared" si="13"/>
        <v>796.01</v>
      </c>
      <c r="M48" s="76">
        <f t="shared" si="37"/>
        <v>0.46107552</v>
      </c>
      <c r="N48" s="61">
        <f t="shared" si="38"/>
        <v>61</v>
      </c>
      <c r="O48" s="75">
        <f t="shared" si="39"/>
        <v>83.2</v>
      </c>
      <c r="P48" s="62">
        <f t="shared" si="40"/>
        <v>2149050</v>
      </c>
      <c r="Q48" s="62">
        <f t="shared" si="14"/>
        <v>776.67</v>
      </c>
      <c r="R48" s="66">
        <f t="shared" si="41"/>
        <v>0.02</v>
      </c>
      <c r="S48" s="62">
        <f t="shared" si="42"/>
        <v>1213130</v>
      </c>
      <c r="T48" s="62">
        <f t="shared" si="15"/>
        <v>438.42790025298154</v>
      </c>
      <c r="U48" s="62">
        <f t="shared" si="16"/>
        <v>48869</v>
      </c>
      <c r="V48" s="62">
        <f t="shared" si="17"/>
        <v>17.66</v>
      </c>
      <c r="W48" s="62">
        <f t="shared" si="18"/>
        <v>3411049</v>
      </c>
      <c r="X48" s="62">
        <f t="shared" si="19"/>
        <v>1232.76</v>
      </c>
      <c r="Y48" s="64">
        <f t="shared" si="20"/>
        <v>1.548674</v>
      </c>
      <c r="Z48" s="61">
        <f t="shared" si="43"/>
        <v>1</v>
      </c>
      <c r="AA48" s="61"/>
      <c r="AB48" s="62">
        <v>34298810</v>
      </c>
      <c r="AC48" s="62">
        <v>8468890</v>
      </c>
      <c r="AD48" s="62">
        <f t="shared" si="21"/>
        <v>25829920</v>
      </c>
      <c r="AE48" s="102">
        <v>4.58</v>
      </c>
      <c r="AF48" s="62">
        <v>118301</v>
      </c>
      <c r="AG48" s="75">
        <v>36.62</v>
      </c>
      <c r="AH48" s="62">
        <v>945892</v>
      </c>
      <c r="AI48" s="102">
        <v>0</v>
      </c>
      <c r="AJ48" s="102">
        <v>0</v>
      </c>
      <c r="AK48" s="61">
        <v>0</v>
      </c>
      <c r="AL48" s="62">
        <v>0</v>
      </c>
      <c r="AM48" s="62">
        <f t="shared" si="22"/>
        <v>1064193</v>
      </c>
      <c r="AN48" s="102">
        <v>42</v>
      </c>
      <c r="AO48" s="62">
        <v>1084857</v>
      </c>
      <c r="AP48" s="102">
        <v>0</v>
      </c>
      <c r="AQ48" s="102">
        <v>0</v>
      </c>
      <c r="AR48" s="61">
        <v>0</v>
      </c>
      <c r="AS48" s="62">
        <v>0</v>
      </c>
      <c r="AT48" s="62">
        <f t="shared" si="23"/>
        <v>1084857</v>
      </c>
      <c r="AU48" s="102">
        <f t="shared" si="24"/>
        <v>83.19999999999999</v>
      </c>
      <c r="AV48" s="62">
        <f t="shared" si="24"/>
        <v>2149050</v>
      </c>
      <c r="AW48" s="62">
        <f t="shared" si="25"/>
        <v>0</v>
      </c>
      <c r="AX48" s="62">
        <f t="shared" si="26"/>
        <v>2149050</v>
      </c>
      <c r="AY48" s="380">
        <f t="shared" si="27"/>
        <v>42</v>
      </c>
      <c r="AZ48" s="380">
        <f t="shared" si="28"/>
        <v>41.2</v>
      </c>
      <c r="BA48" s="380">
        <f t="shared" si="29"/>
        <v>83.2</v>
      </c>
      <c r="BB48" s="66">
        <v>0.02</v>
      </c>
      <c r="BC48" s="62">
        <v>1213130</v>
      </c>
      <c r="BD48" s="62">
        <v>0</v>
      </c>
      <c r="BE48" s="62">
        <f t="shared" si="30"/>
        <v>1213130</v>
      </c>
      <c r="BF48" s="62">
        <f t="shared" si="31"/>
        <v>60656500</v>
      </c>
      <c r="BG48" s="66">
        <f t="shared" si="32"/>
        <v>0.02</v>
      </c>
      <c r="BH48" s="66">
        <f t="shared" si="33"/>
        <v>0</v>
      </c>
      <c r="BI48" s="62">
        <f t="shared" si="34"/>
        <v>3411049</v>
      </c>
    </row>
    <row r="49" spans="2:61" ht="12.75">
      <c r="B49" s="60">
        <v>42</v>
      </c>
      <c r="C49" s="61" t="s">
        <v>44</v>
      </c>
      <c r="D49" s="61">
        <f>'Table 4 Formula'!U49</f>
        <v>5559</v>
      </c>
      <c r="E49" s="62">
        <f t="shared" si="35"/>
        <v>2053191</v>
      </c>
      <c r="F49" s="62">
        <f t="shared" si="9"/>
        <v>369.35</v>
      </c>
      <c r="G49" s="62">
        <f t="shared" si="36"/>
        <v>3063313</v>
      </c>
      <c r="H49" s="62">
        <f t="shared" si="10"/>
        <v>551.05</v>
      </c>
      <c r="I49" s="62">
        <v>226971.5</v>
      </c>
      <c r="J49" s="62">
        <f t="shared" si="11"/>
        <v>40.83</v>
      </c>
      <c r="K49" s="62">
        <f t="shared" si="12"/>
        <v>5343475.5</v>
      </c>
      <c r="L49" s="62">
        <f t="shared" si="13"/>
        <v>961.23</v>
      </c>
      <c r="M49" s="76">
        <f t="shared" si="37"/>
        <v>0.55677645</v>
      </c>
      <c r="N49" s="61">
        <f t="shared" si="38"/>
        <v>51</v>
      </c>
      <c r="O49" s="75">
        <f t="shared" si="39"/>
        <v>28.575</v>
      </c>
      <c r="P49" s="62">
        <f t="shared" si="40"/>
        <v>1427142</v>
      </c>
      <c r="Q49" s="62">
        <f t="shared" si="14"/>
        <v>256.73</v>
      </c>
      <c r="R49" s="66">
        <f t="shared" si="41"/>
        <v>0.015</v>
      </c>
      <c r="S49" s="62">
        <f t="shared" si="42"/>
        <v>2552761</v>
      </c>
      <c r="T49" s="62">
        <f t="shared" si="15"/>
        <v>459.212268393596</v>
      </c>
      <c r="U49" s="62">
        <f t="shared" si="16"/>
        <v>226971.5</v>
      </c>
      <c r="V49" s="62">
        <f t="shared" si="17"/>
        <v>40.83</v>
      </c>
      <c r="W49" s="62">
        <f t="shared" si="18"/>
        <v>4206874.5</v>
      </c>
      <c r="X49" s="62">
        <f t="shared" si="19"/>
        <v>756.77</v>
      </c>
      <c r="Y49" s="64">
        <f t="shared" si="20"/>
        <v>0.787293</v>
      </c>
      <c r="Z49" s="61">
        <f t="shared" si="43"/>
        <v>49</v>
      </c>
      <c r="AA49" s="61"/>
      <c r="AB49" s="62">
        <v>69126100</v>
      </c>
      <c r="AC49" s="62">
        <v>19182260</v>
      </c>
      <c r="AD49" s="62">
        <f t="shared" si="21"/>
        <v>49943840</v>
      </c>
      <c r="AE49" s="102">
        <v>6.42</v>
      </c>
      <c r="AF49" s="62">
        <v>298927</v>
      </c>
      <c r="AG49" s="75">
        <v>6.87</v>
      </c>
      <c r="AH49" s="62">
        <v>319823</v>
      </c>
      <c r="AI49" s="102">
        <v>0</v>
      </c>
      <c r="AJ49" s="102">
        <v>0</v>
      </c>
      <c r="AK49" s="61">
        <v>0</v>
      </c>
      <c r="AL49" s="62">
        <v>0</v>
      </c>
      <c r="AM49" s="62">
        <f t="shared" si="22"/>
        <v>618750</v>
      </c>
      <c r="AN49" s="102">
        <v>0</v>
      </c>
      <c r="AO49" s="62">
        <v>0</v>
      </c>
      <c r="AP49" s="102">
        <v>20</v>
      </c>
      <c r="AQ49" s="102">
        <v>54</v>
      </c>
      <c r="AR49" s="61">
        <v>4</v>
      </c>
      <c r="AS49" s="62">
        <v>808392</v>
      </c>
      <c r="AT49" s="62">
        <f t="shared" si="23"/>
        <v>808392</v>
      </c>
      <c r="AU49" s="102">
        <f t="shared" si="24"/>
        <v>13.29</v>
      </c>
      <c r="AV49" s="62">
        <f t="shared" si="24"/>
        <v>618750</v>
      </c>
      <c r="AW49" s="62">
        <f t="shared" si="25"/>
        <v>808392</v>
      </c>
      <c r="AX49" s="62">
        <f t="shared" si="26"/>
        <v>1427142</v>
      </c>
      <c r="AY49" s="380">
        <f t="shared" si="27"/>
        <v>16.186</v>
      </c>
      <c r="AZ49" s="380">
        <f t="shared" si="28"/>
        <v>12.389</v>
      </c>
      <c r="BA49" s="380">
        <f t="shared" si="29"/>
        <v>28.575</v>
      </c>
      <c r="BB49" s="66">
        <v>0.015</v>
      </c>
      <c r="BC49" s="62">
        <v>2552761</v>
      </c>
      <c r="BD49" s="62">
        <v>0</v>
      </c>
      <c r="BE49" s="62">
        <f t="shared" si="30"/>
        <v>2552761</v>
      </c>
      <c r="BF49" s="62">
        <f t="shared" si="31"/>
        <v>170184067</v>
      </c>
      <c r="BG49" s="66">
        <f t="shared" si="32"/>
        <v>0.015</v>
      </c>
      <c r="BH49" s="66">
        <f t="shared" si="33"/>
        <v>0</v>
      </c>
      <c r="BI49" s="62">
        <f t="shared" si="34"/>
        <v>4206874.5</v>
      </c>
    </row>
    <row r="50" spans="2:61" ht="12.75">
      <c r="B50" s="60">
        <v>43</v>
      </c>
      <c r="C50" s="61" t="s">
        <v>45</v>
      </c>
      <c r="D50" s="61">
        <f>'Table 4 Formula'!U50</f>
        <v>6239</v>
      </c>
      <c r="E50" s="62">
        <f t="shared" si="35"/>
        <v>2667987</v>
      </c>
      <c r="F50" s="62">
        <f t="shared" si="9"/>
        <v>427.63</v>
      </c>
      <c r="G50" s="62">
        <f t="shared" si="36"/>
        <v>4288995</v>
      </c>
      <c r="H50" s="62">
        <f t="shared" si="10"/>
        <v>687.45</v>
      </c>
      <c r="I50" s="62">
        <v>176956</v>
      </c>
      <c r="J50" s="62">
        <f t="shared" si="11"/>
        <v>28.36</v>
      </c>
      <c r="K50" s="62">
        <f t="shared" si="12"/>
        <v>7133938</v>
      </c>
      <c r="L50" s="62">
        <f t="shared" si="13"/>
        <v>1143.44</v>
      </c>
      <c r="M50" s="76">
        <f t="shared" si="37"/>
        <v>0.66231856</v>
      </c>
      <c r="N50" s="61">
        <f t="shared" si="38"/>
        <v>40</v>
      </c>
      <c r="O50" s="75">
        <f t="shared" si="39"/>
        <v>45.042</v>
      </c>
      <c r="P50" s="62">
        <f t="shared" si="40"/>
        <v>2923137</v>
      </c>
      <c r="Q50" s="62">
        <f t="shared" si="14"/>
        <v>468.53</v>
      </c>
      <c r="R50" s="66">
        <f t="shared" si="41"/>
        <v>0.01</v>
      </c>
      <c r="S50" s="62">
        <f t="shared" si="42"/>
        <v>2382775</v>
      </c>
      <c r="T50" s="62">
        <f t="shared" si="15"/>
        <v>381.9161724635358</v>
      </c>
      <c r="U50" s="62">
        <f t="shared" si="16"/>
        <v>176956</v>
      </c>
      <c r="V50" s="62">
        <f t="shared" si="17"/>
        <v>28.36</v>
      </c>
      <c r="W50" s="62">
        <f t="shared" si="18"/>
        <v>5482868</v>
      </c>
      <c r="X50" s="62">
        <f t="shared" si="19"/>
        <v>878.81</v>
      </c>
      <c r="Y50" s="64">
        <f t="shared" si="20"/>
        <v>0.768567</v>
      </c>
      <c r="Z50" s="61">
        <f t="shared" si="43"/>
        <v>52</v>
      </c>
      <c r="AA50" s="61"/>
      <c r="AB50" s="62">
        <v>88421700</v>
      </c>
      <c r="AC50" s="62">
        <v>23522960</v>
      </c>
      <c r="AD50" s="62">
        <f t="shared" si="21"/>
        <v>64898740</v>
      </c>
      <c r="AE50" s="102">
        <v>4.8</v>
      </c>
      <c r="AF50" s="62">
        <v>316210</v>
      </c>
      <c r="AG50" s="75">
        <v>8.1</v>
      </c>
      <c r="AH50" s="62">
        <v>533604</v>
      </c>
      <c r="AI50" s="102">
        <v>7.52</v>
      </c>
      <c r="AJ50" s="102">
        <v>12.89</v>
      </c>
      <c r="AK50" s="61">
        <v>7</v>
      </c>
      <c r="AL50" s="62">
        <v>557467</v>
      </c>
      <c r="AM50" s="62">
        <f t="shared" si="22"/>
        <v>1407281</v>
      </c>
      <c r="AN50" s="102">
        <v>0</v>
      </c>
      <c r="AO50" s="62">
        <v>0</v>
      </c>
      <c r="AP50" s="102">
        <v>5</v>
      </c>
      <c r="AQ50" s="102">
        <v>50</v>
      </c>
      <c r="AR50" s="61">
        <v>7</v>
      </c>
      <c r="AS50" s="62">
        <v>1515856</v>
      </c>
      <c r="AT50" s="62">
        <f t="shared" si="23"/>
        <v>1515856</v>
      </c>
      <c r="AU50" s="102">
        <f t="shared" si="24"/>
        <v>12.899999999999999</v>
      </c>
      <c r="AV50" s="62">
        <f t="shared" si="24"/>
        <v>849814</v>
      </c>
      <c r="AW50" s="62">
        <f t="shared" si="25"/>
        <v>2073323</v>
      </c>
      <c r="AX50" s="62">
        <f t="shared" si="26"/>
        <v>2923137</v>
      </c>
      <c r="AY50" s="380">
        <f t="shared" si="27"/>
        <v>23.357</v>
      </c>
      <c r="AZ50" s="380">
        <f t="shared" si="28"/>
        <v>21.684</v>
      </c>
      <c r="BA50" s="380">
        <f t="shared" si="29"/>
        <v>45.042</v>
      </c>
      <c r="BB50" s="66">
        <v>0.01</v>
      </c>
      <c r="BC50" s="62">
        <f>2194893+187882</f>
        <v>2382775</v>
      </c>
      <c r="BD50" s="62">
        <v>0</v>
      </c>
      <c r="BE50" s="62">
        <f t="shared" si="30"/>
        <v>2382775</v>
      </c>
      <c r="BF50" s="62">
        <f t="shared" si="31"/>
        <v>238277500</v>
      </c>
      <c r="BG50" s="66">
        <f t="shared" si="32"/>
        <v>0.01</v>
      </c>
      <c r="BH50" s="66">
        <f t="shared" si="33"/>
        <v>0</v>
      </c>
      <c r="BI50" s="62">
        <f t="shared" si="34"/>
        <v>5482868</v>
      </c>
    </row>
    <row r="51" spans="2:61" ht="12.75">
      <c r="B51" s="60">
        <v>44</v>
      </c>
      <c r="C51" s="61" t="s">
        <v>46</v>
      </c>
      <c r="D51" s="61">
        <f>'Table 4 Formula'!U51</f>
        <v>11253</v>
      </c>
      <c r="E51" s="62">
        <f t="shared" si="35"/>
        <v>7830525</v>
      </c>
      <c r="F51" s="62">
        <f t="shared" si="9"/>
        <v>695.86</v>
      </c>
      <c r="G51" s="62">
        <f t="shared" si="36"/>
        <v>11584895</v>
      </c>
      <c r="H51" s="62">
        <f t="shared" si="10"/>
        <v>1029.49</v>
      </c>
      <c r="I51" s="62">
        <v>365767.5</v>
      </c>
      <c r="J51" s="62">
        <f t="shared" si="11"/>
        <v>32.5</v>
      </c>
      <c r="K51" s="62">
        <f t="shared" si="12"/>
        <v>19781187.5</v>
      </c>
      <c r="L51" s="62">
        <f t="shared" si="13"/>
        <v>1757.86</v>
      </c>
      <c r="M51" s="76">
        <f t="shared" si="37"/>
        <v>1.0182111</v>
      </c>
      <c r="N51" s="61">
        <f t="shared" si="38"/>
        <v>17</v>
      </c>
      <c r="O51" s="75">
        <f t="shared" si="39"/>
        <v>29.468</v>
      </c>
      <c r="P51" s="62">
        <f t="shared" si="40"/>
        <v>5613013</v>
      </c>
      <c r="Q51" s="62">
        <f t="shared" si="14"/>
        <v>498.8</v>
      </c>
      <c r="R51" s="66">
        <f t="shared" si="41"/>
        <v>0.02</v>
      </c>
      <c r="S51" s="62">
        <f t="shared" si="42"/>
        <v>12872106</v>
      </c>
      <c r="T51" s="62">
        <f t="shared" si="15"/>
        <v>1143.882164756065</v>
      </c>
      <c r="U51" s="62">
        <f t="shared" si="16"/>
        <v>365767.5</v>
      </c>
      <c r="V51" s="62">
        <f t="shared" si="17"/>
        <v>32.5</v>
      </c>
      <c r="W51" s="62">
        <f t="shared" si="18"/>
        <v>18850886.5</v>
      </c>
      <c r="X51" s="62">
        <f t="shared" si="19"/>
        <v>1675.19</v>
      </c>
      <c r="Y51" s="64">
        <f t="shared" si="20"/>
        <v>0.952971</v>
      </c>
      <c r="Z51" s="61">
        <f t="shared" si="43"/>
        <v>38</v>
      </c>
      <c r="AA51" s="61"/>
      <c r="AB51" s="62">
        <v>297119190</v>
      </c>
      <c r="AC51" s="62">
        <v>106641807</v>
      </c>
      <c r="AD51" s="62">
        <f t="shared" si="21"/>
        <v>190477383</v>
      </c>
      <c r="AE51" s="102">
        <v>3.75</v>
      </c>
      <c r="AF51" s="62">
        <v>719617</v>
      </c>
      <c r="AG51" s="75">
        <v>12.25</v>
      </c>
      <c r="AH51" s="62">
        <v>2350749</v>
      </c>
      <c r="AI51" s="102">
        <v>0</v>
      </c>
      <c r="AJ51" s="102">
        <v>0</v>
      </c>
      <c r="AK51" s="61">
        <v>0</v>
      </c>
      <c r="AL51" s="62">
        <v>0</v>
      </c>
      <c r="AM51" s="62">
        <f t="shared" si="22"/>
        <v>3070366</v>
      </c>
      <c r="AN51" s="102">
        <v>13.25</v>
      </c>
      <c r="AO51" s="62">
        <v>2542647</v>
      </c>
      <c r="AP51" s="102">
        <v>0</v>
      </c>
      <c r="AQ51" s="102">
        <v>0</v>
      </c>
      <c r="AR51" s="61">
        <v>0</v>
      </c>
      <c r="AS51" s="62">
        <v>0</v>
      </c>
      <c r="AT51" s="62">
        <f t="shared" si="23"/>
        <v>2542647</v>
      </c>
      <c r="AU51" s="102">
        <f t="shared" si="24"/>
        <v>29.25</v>
      </c>
      <c r="AV51" s="62">
        <f t="shared" si="24"/>
        <v>5613013</v>
      </c>
      <c r="AW51" s="62">
        <f t="shared" si="25"/>
        <v>0</v>
      </c>
      <c r="AX51" s="62">
        <f t="shared" si="26"/>
        <v>5613013</v>
      </c>
      <c r="AY51" s="380">
        <f t="shared" si="27"/>
        <v>13.349</v>
      </c>
      <c r="AZ51" s="380">
        <f t="shared" si="28"/>
        <v>16.119</v>
      </c>
      <c r="BA51" s="380">
        <f t="shared" si="29"/>
        <v>29.468</v>
      </c>
      <c r="BB51" s="66">
        <v>0.02</v>
      </c>
      <c r="BC51" s="62">
        <v>12264364</v>
      </c>
      <c r="BD51" s="62">
        <v>607742</v>
      </c>
      <c r="BE51" s="62">
        <f t="shared" si="30"/>
        <v>12872106</v>
      </c>
      <c r="BF51" s="62">
        <f t="shared" si="31"/>
        <v>643605300</v>
      </c>
      <c r="BG51" s="66">
        <f t="shared" si="32"/>
        <v>0.0191</v>
      </c>
      <c r="BH51" s="66">
        <f t="shared" si="33"/>
        <v>0.0009</v>
      </c>
      <c r="BI51" s="62">
        <f t="shared" si="34"/>
        <v>18850886.5</v>
      </c>
    </row>
    <row r="52" spans="2:61" ht="12.75">
      <c r="B52" s="83">
        <v>45</v>
      </c>
      <c r="C52" s="84" t="s">
        <v>47</v>
      </c>
      <c r="D52" s="84">
        <f>'Table 4 Formula'!U52</f>
        <v>12503</v>
      </c>
      <c r="E52" s="85">
        <f t="shared" si="35"/>
        <v>26066881</v>
      </c>
      <c r="F52" s="85">
        <f t="shared" si="9"/>
        <v>2084.85</v>
      </c>
      <c r="G52" s="85">
        <f t="shared" si="36"/>
        <v>16129328</v>
      </c>
      <c r="H52" s="85">
        <f t="shared" si="10"/>
        <v>1290.04</v>
      </c>
      <c r="I52" s="85">
        <v>287046</v>
      </c>
      <c r="J52" s="85">
        <f t="shared" si="11"/>
        <v>22.96</v>
      </c>
      <c r="K52" s="85">
        <f t="shared" si="12"/>
        <v>42483255</v>
      </c>
      <c r="L52" s="85">
        <f t="shared" si="13"/>
        <v>3397.84</v>
      </c>
      <c r="M52" s="94">
        <f t="shared" si="37"/>
        <v>1.96814217</v>
      </c>
      <c r="N52" s="84">
        <f t="shared" si="38"/>
        <v>3</v>
      </c>
      <c r="O52" s="93">
        <f t="shared" si="39"/>
        <v>55.261</v>
      </c>
      <c r="P52" s="85">
        <f t="shared" si="40"/>
        <v>35040005</v>
      </c>
      <c r="Q52" s="85">
        <f t="shared" si="14"/>
        <v>2802.53</v>
      </c>
      <c r="R52" s="90">
        <f t="shared" si="41"/>
        <v>0.02</v>
      </c>
      <c r="S52" s="85">
        <f t="shared" si="42"/>
        <v>17921476</v>
      </c>
      <c r="T52" s="85">
        <f t="shared" si="15"/>
        <v>1433.3740702231464</v>
      </c>
      <c r="U52" s="85">
        <f t="shared" si="16"/>
        <v>287046</v>
      </c>
      <c r="V52" s="85">
        <f t="shared" si="17"/>
        <v>22.96</v>
      </c>
      <c r="W52" s="85">
        <f t="shared" si="18"/>
        <v>53248527</v>
      </c>
      <c r="X52" s="85">
        <f t="shared" si="19"/>
        <v>4258.86</v>
      </c>
      <c r="Y52" s="88">
        <f t="shared" si="20"/>
        <v>1.253402</v>
      </c>
      <c r="Z52" s="84">
        <f t="shared" si="43"/>
        <v>6</v>
      </c>
      <c r="AA52" s="84"/>
      <c r="AB52" s="85">
        <v>707929695</v>
      </c>
      <c r="AC52" s="85">
        <v>73853292</v>
      </c>
      <c r="AD52" s="85">
        <f t="shared" si="21"/>
        <v>634076403</v>
      </c>
      <c r="AE52" s="103">
        <v>4.1</v>
      </c>
      <c r="AF52" s="85">
        <v>2637080</v>
      </c>
      <c r="AG52" s="93">
        <v>44.59</v>
      </c>
      <c r="AH52" s="85">
        <v>27981028</v>
      </c>
      <c r="AI52" s="103">
        <v>0</v>
      </c>
      <c r="AJ52" s="103">
        <v>0</v>
      </c>
      <c r="AK52" s="84">
        <v>0</v>
      </c>
      <c r="AL52" s="85">
        <v>0</v>
      </c>
      <c r="AM52" s="85">
        <f t="shared" si="22"/>
        <v>30618108</v>
      </c>
      <c r="AN52" s="103">
        <v>6.81</v>
      </c>
      <c r="AO52" s="85">
        <v>4421897</v>
      </c>
      <c r="AP52" s="103">
        <v>0</v>
      </c>
      <c r="AQ52" s="103">
        <v>0</v>
      </c>
      <c r="AR52" s="84">
        <v>0</v>
      </c>
      <c r="AS52" s="85">
        <v>0</v>
      </c>
      <c r="AT52" s="85">
        <f t="shared" si="23"/>
        <v>4421897</v>
      </c>
      <c r="AU52" s="103">
        <f t="shared" si="24"/>
        <v>55.50000000000001</v>
      </c>
      <c r="AV52" s="85">
        <f t="shared" si="24"/>
        <v>35040005</v>
      </c>
      <c r="AW52" s="85">
        <f t="shared" si="25"/>
        <v>0</v>
      </c>
      <c r="AX52" s="85">
        <f t="shared" si="26"/>
        <v>35040005</v>
      </c>
      <c r="AY52" s="381">
        <f t="shared" si="27"/>
        <v>6.974</v>
      </c>
      <c r="AZ52" s="381">
        <f t="shared" si="28"/>
        <v>48.288</v>
      </c>
      <c r="BA52" s="381">
        <f t="shared" si="29"/>
        <v>55.261</v>
      </c>
      <c r="BB52" s="90">
        <v>0.02</v>
      </c>
      <c r="BC52" s="85">
        <v>16615216</v>
      </c>
      <c r="BD52" s="85">
        <v>1306260</v>
      </c>
      <c r="BE52" s="85">
        <f t="shared" si="30"/>
        <v>17921476</v>
      </c>
      <c r="BF52" s="85">
        <f t="shared" si="31"/>
        <v>896073800</v>
      </c>
      <c r="BG52" s="90">
        <f t="shared" si="32"/>
        <v>0.0185</v>
      </c>
      <c r="BH52" s="90">
        <f t="shared" si="33"/>
        <v>0.0015</v>
      </c>
      <c r="BI52" s="85">
        <f t="shared" si="34"/>
        <v>53248527</v>
      </c>
    </row>
    <row r="53" spans="2:61" ht="12.75">
      <c r="B53" s="60">
        <v>46</v>
      </c>
      <c r="C53" s="61" t="s">
        <v>48</v>
      </c>
      <c r="D53" s="61">
        <f>'Table 4 Formula'!U53</f>
        <v>2254</v>
      </c>
      <c r="E53" s="62">
        <f t="shared" si="35"/>
        <v>1161714</v>
      </c>
      <c r="F53" s="62">
        <f t="shared" si="9"/>
        <v>515.4</v>
      </c>
      <c r="G53" s="62">
        <f t="shared" si="36"/>
        <v>810349</v>
      </c>
      <c r="H53" s="62">
        <f t="shared" si="10"/>
        <v>359.52</v>
      </c>
      <c r="I53" s="62">
        <v>34437</v>
      </c>
      <c r="J53" s="62">
        <f t="shared" si="11"/>
        <v>15.28</v>
      </c>
      <c r="K53" s="62">
        <f t="shared" si="12"/>
        <v>2006500</v>
      </c>
      <c r="L53" s="62">
        <f t="shared" si="13"/>
        <v>890.2</v>
      </c>
      <c r="M53" s="76">
        <f t="shared" si="37"/>
        <v>0.51563351</v>
      </c>
      <c r="N53" s="61">
        <f t="shared" si="38"/>
        <v>58</v>
      </c>
      <c r="O53" s="75">
        <f t="shared" si="39"/>
        <v>17.544</v>
      </c>
      <c r="P53" s="62">
        <f t="shared" si="40"/>
        <v>495767</v>
      </c>
      <c r="Q53" s="62">
        <f t="shared" si="14"/>
        <v>219.95</v>
      </c>
      <c r="R53" s="66">
        <f t="shared" si="41"/>
        <v>0.02</v>
      </c>
      <c r="S53" s="62">
        <f t="shared" si="42"/>
        <v>900388</v>
      </c>
      <c r="T53" s="62">
        <f t="shared" si="15"/>
        <v>399.4622892635315</v>
      </c>
      <c r="U53" s="62">
        <f t="shared" si="16"/>
        <v>34437</v>
      </c>
      <c r="V53" s="62">
        <f t="shared" si="17"/>
        <v>15.28</v>
      </c>
      <c r="W53" s="62">
        <f t="shared" si="18"/>
        <v>1430592</v>
      </c>
      <c r="X53" s="62">
        <f t="shared" si="19"/>
        <v>634.69</v>
      </c>
      <c r="Y53" s="64">
        <f t="shared" si="20"/>
        <v>0.712975</v>
      </c>
      <c r="Z53" s="61">
        <f t="shared" si="43"/>
        <v>56</v>
      </c>
      <c r="AA53" s="61"/>
      <c r="AB53" s="62">
        <v>40446120</v>
      </c>
      <c r="AC53" s="62">
        <v>12187460</v>
      </c>
      <c r="AD53" s="62">
        <f t="shared" si="21"/>
        <v>28258660</v>
      </c>
      <c r="AE53" s="102">
        <v>3.38</v>
      </c>
      <c r="AF53" s="62">
        <v>100652</v>
      </c>
      <c r="AG53" s="75">
        <v>14.48</v>
      </c>
      <c r="AH53" s="62">
        <v>395115</v>
      </c>
      <c r="AI53" s="102">
        <v>0</v>
      </c>
      <c r="AJ53" s="102">
        <v>0</v>
      </c>
      <c r="AK53" s="61">
        <v>6</v>
      </c>
      <c r="AL53" s="62">
        <v>0</v>
      </c>
      <c r="AM53" s="62">
        <f t="shared" si="22"/>
        <v>495767</v>
      </c>
      <c r="AN53" s="102">
        <v>0</v>
      </c>
      <c r="AO53" s="62">
        <v>0</v>
      </c>
      <c r="AP53" s="102">
        <v>0</v>
      </c>
      <c r="AQ53" s="102">
        <v>0</v>
      </c>
      <c r="AR53" s="61">
        <v>6</v>
      </c>
      <c r="AS53" s="62">
        <v>0</v>
      </c>
      <c r="AT53" s="62">
        <f t="shared" si="23"/>
        <v>0</v>
      </c>
      <c r="AU53" s="102">
        <f t="shared" si="24"/>
        <v>17.86</v>
      </c>
      <c r="AV53" s="62">
        <f t="shared" si="24"/>
        <v>495767</v>
      </c>
      <c r="AW53" s="62">
        <f t="shared" si="25"/>
        <v>0</v>
      </c>
      <c r="AX53" s="62">
        <f t="shared" si="26"/>
        <v>495767</v>
      </c>
      <c r="AY53" s="380">
        <f t="shared" si="27"/>
        <v>0</v>
      </c>
      <c r="AZ53" s="380">
        <f t="shared" si="28"/>
        <v>17.544</v>
      </c>
      <c r="BA53" s="380">
        <f t="shared" si="29"/>
        <v>17.544</v>
      </c>
      <c r="BB53" s="66">
        <v>0.02</v>
      </c>
      <c r="BC53" s="62">
        <v>900388</v>
      </c>
      <c r="BD53" s="62">
        <v>0</v>
      </c>
      <c r="BE53" s="62">
        <f t="shared" si="30"/>
        <v>900388</v>
      </c>
      <c r="BF53" s="62">
        <f t="shared" si="31"/>
        <v>45019400</v>
      </c>
      <c r="BG53" s="66">
        <f t="shared" si="32"/>
        <v>0.02</v>
      </c>
      <c r="BH53" s="66">
        <f t="shared" si="33"/>
        <v>0</v>
      </c>
      <c r="BI53" s="62">
        <f t="shared" si="34"/>
        <v>1430592</v>
      </c>
    </row>
    <row r="54" spans="2:61" ht="12.75">
      <c r="B54" s="60">
        <v>47</v>
      </c>
      <c r="C54" s="61" t="s">
        <v>49</v>
      </c>
      <c r="D54" s="61">
        <f>'Table 4 Formula'!U54</f>
        <v>5545</v>
      </c>
      <c r="E54" s="62">
        <f t="shared" si="35"/>
        <v>8969223</v>
      </c>
      <c r="F54" s="62">
        <f t="shared" si="9"/>
        <v>1617.53</v>
      </c>
      <c r="G54" s="62">
        <f t="shared" si="36"/>
        <v>6603357</v>
      </c>
      <c r="H54" s="62">
        <f t="shared" si="10"/>
        <v>1190.87</v>
      </c>
      <c r="I54" s="62">
        <v>89870</v>
      </c>
      <c r="J54" s="62">
        <f t="shared" si="11"/>
        <v>16.21</v>
      </c>
      <c r="K54" s="62">
        <f t="shared" si="12"/>
        <v>15662450</v>
      </c>
      <c r="L54" s="62">
        <f t="shared" si="13"/>
        <v>2824.61</v>
      </c>
      <c r="M54" s="76">
        <f t="shared" si="37"/>
        <v>1.63610825</v>
      </c>
      <c r="N54" s="61">
        <f t="shared" si="38"/>
        <v>4</v>
      </c>
      <c r="O54" s="75">
        <f t="shared" si="39"/>
        <v>39.575</v>
      </c>
      <c r="P54" s="62">
        <f t="shared" si="40"/>
        <v>8634223</v>
      </c>
      <c r="Q54" s="62">
        <f t="shared" si="14"/>
        <v>1557.12</v>
      </c>
      <c r="R54" s="66">
        <f t="shared" si="41"/>
        <v>0.02</v>
      </c>
      <c r="S54" s="62">
        <f t="shared" si="42"/>
        <v>7337063</v>
      </c>
      <c r="T54" s="62">
        <f t="shared" si="15"/>
        <v>1323.185392245266</v>
      </c>
      <c r="U54" s="62">
        <f t="shared" si="16"/>
        <v>89870</v>
      </c>
      <c r="V54" s="62">
        <f t="shared" si="17"/>
        <v>16.21</v>
      </c>
      <c r="W54" s="62">
        <f t="shared" si="18"/>
        <v>16061156</v>
      </c>
      <c r="X54" s="62">
        <f t="shared" si="19"/>
        <v>2896.51</v>
      </c>
      <c r="Y54" s="64">
        <f t="shared" si="20"/>
        <v>1.025455</v>
      </c>
      <c r="Z54" s="61">
        <f t="shared" si="43"/>
        <v>27</v>
      </c>
      <c r="AA54" s="61"/>
      <c r="AB54" s="62">
        <v>241845928</v>
      </c>
      <c r="AC54" s="62">
        <v>23669754</v>
      </c>
      <c r="AD54" s="62">
        <f t="shared" si="21"/>
        <v>218176174</v>
      </c>
      <c r="AE54" s="102">
        <v>4.02</v>
      </c>
      <c r="AF54" s="62">
        <v>911979</v>
      </c>
      <c r="AG54" s="75">
        <v>24.04</v>
      </c>
      <c r="AH54" s="62">
        <v>5582659</v>
      </c>
      <c r="AI54" s="102">
        <v>0</v>
      </c>
      <c r="AJ54" s="102">
        <v>0</v>
      </c>
      <c r="AK54" s="61">
        <v>0</v>
      </c>
      <c r="AL54" s="62">
        <v>0</v>
      </c>
      <c r="AM54" s="62">
        <f t="shared" si="22"/>
        <v>6494638</v>
      </c>
      <c r="AN54" s="102">
        <v>10</v>
      </c>
      <c r="AO54" s="62">
        <v>2139585</v>
      </c>
      <c r="AP54" s="102">
        <v>0</v>
      </c>
      <c r="AQ54" s="102">
        <v>0</v>
      </c>
      <c r="AR54" s="61">
        <v>0</v>
      </c>
      <c r="AS54" s="62">
        <v>0</v>
      </c>
      <c r="AT54" s="62">
        <f t="shared" si="23"/>
        <v>2139585</v>
      </c>
      <c r="AU54" s="102">
        <f t="shared" si="24"/>
        <v>38.06</v>
      </c>
      <c r="AV54" s="62">
        <f t="shared" si="24"/>
        <v>8634223</v>
      </c>
      <c r="AW54" s="62">
        <f t="shared" si="25"/>
        <v>0</v>
      </c>
      <c r="AX54" s="62">
        <f t="shared" si="26"/>
        <v>8634223</v>
      </c>
      <c r="AY54" s="380">
        <f t="shared" si="27"/>
        <v>9.807</v>
      </c>
      <c r="AZ54" s="380">
        <f t="shared" si="28"/>
        <v>29.768</v>
      </c>
      <c r="BA54" s="380">
        <f t="shared" si="29"/>
        <v>39.575</v>
      </c>
      <c r="BB54" s="66">
        <v>0.02</v>
      </c>
      <c r="BC54" s="62">
        <v>7337063</v>
      </c>
      <c r="BD54" s="62">
        <v>0</v>
      </c>
      <c r="BE54" s="62">
        <f t="shared" si="30"/>
        <v>7337063</v>
      </c>
      <c r="BF54" s="62">
        <f t="shared" si="31"/>
        <v>366853150</v>
      </c>
      <c r="BG54" s="66">
        <f t="shared" si="32"/>
        <v>0.02</v>
      </c>
      <c r="BH54" s="66">
        <f t="shared" si="33"/>
        <v>0</v>
      </c>
      <c r="BI54" s="62">
        <f t="shared" si="34"/>
        <v>16061156</v>
      </c>
    </row>
    <row r="55" spans="2:61" ht="12.75">
      <c r="B55" s="60">
        <v>48</v>
      </c>
      <c r="C55" s="61" t="s">
        <v>50</v>
      </c>
      <c r="D55" s="61">
        <f>'Table 4 Formula'!U55</f>
        <v>9529</v>
      </c>
      <c r="E55" s="62">
        <f t="shared" si="35"/>
        <v>6304660</v>
      </c>
      <c r="F55" s="62">
        <f t="shared" si="9"/>
        <v>661.63</v>
      </c>
      <c r="G55" s="62">
        <f t="shared" si="36"/>
        <v>9035512</v>
      </c>
      <c r="H55" s="62">
        <f t="shared" si="10"/>
        <v>948.21</v>
      </c>
      <c r="I55" s="62">
        <v>229952</v>
      </c>
      <c r="J55" s="62">
        <f t="shared" si="11"/>
        <v>24.13</v>
      </c>
      <c r="K55" s="62">
        <f t="shared" si="12"/>
        <v>15570124</v>
      </c>
      <c r="L55" s="62">
        <f t="shared" si="13"/>
        <v>1633.97</v>
      </c>
      <c r="M55" s="76">
        <f t="shared" si="37"/>
        <v>0.94644988</v>
      </c>
      <c r="N55" s="61">
        <f t="shared" si="38"/>
        <v>20</v>
      </c>
      <c r="O55" s="75">
        <f t="shared" si="39"/>
        <v>44.318</v>
      </c>
      <c r="P55" s="62">
        <f t="shared" si="40"/>
        <v>6796681</v>
      </c>
      <c r="Q55" s="62">
        <f t="shared" si="14"/>
        <v>713.26</v>
      </c>
      <c r="R55" s="66">
        <f t="shared" si="41"/>
        <v>0.02</v>
      </c>
      <c r="S55" s="62">
        <f t="shared" si="42"/>
        <v>10039458</v>
      </c>
      <c r="T55" s="62">
        <f t="shared" si="15"/>
        <v>1053.568894952251</v>
      </c>
      <c r="U55" s="62">
        <f t="shared" si="16"/>
        <v>229952</v>
      </c>
      <c r="V55" s="62">
        <f t="shared" si="17"/>
        <v>24.13</v>
      </c>
      <c r="W55" s="62">
        <f t="shared" si="18"/>
        <v>17066091</v>
      </c>
      <c r="X55" s="62">
        <f t="shared" si="19"/>
        <v>1790.96</v>
      </c>
      <c r="Y55" s="64">
        <f t="shared" si="20"/>
        <v>1.096079</v>
      </c>
      <c r="Z55" s="61">
        <f t="shared" si="43"/>
        <v>14</v>
      </c>
      <c r="AA55" s="61"/>
      <c r="AB55" s="62">
        <v>214030288</v>
      </c>
      <c r="AC55" s="62">
        <v>60669556</v>
      </c>
      <c r="AD55" s="62">
        <f t="shared" si="21"/>
        <v>153360732</v>
      </c>
      <c r="AE55" s="102">
        <v>3.87</v>
      </c>
      <c r="AF55" s="62">
        <v>564564</v>
      </c>
      <c r="AG55" s="75">
        <v>18.6</v>
      </c>
      <c r="AH55" s="62">
        <v>2713438</v>
      </c>
      <c r="AI55" s="102">
        <v>0</v>
      </c>
      <c r="AJ55" s="102">
        <v>0</v>
      </c>
      <c r="AK55" s="61">
        <v>0</v>
      </c>
      <c r="AL55" s="62">
        <v>0</v>
      </c>
      <c r="AM55" s="62">
        <f t="shared" si="22"/>
        <v>3278002</v>
      </c>
      <c r="AN55" s="102">
        <v>24.12</v>
      </c>
      <c r="AO55" s="62">
        <v>3518679</v>
      </c>
      <c r="AP55" s="102">
        <v>0</v>
      </c>
      <c r="AQ55" s="102">
        <v>0</v>
      </c>
      <c r="AR55" s="61">
        <v>0</v>
      </c>
      <c r="AS55" s="62">
        <v>0</v>
      </c>
      <c r="AT55" s="62">
        <f t="shared" si="23"/>
        <v>3518679</v>
      </c>
      <c r="AU55" s="102">
        <f t="shared" si="24"/>
        <v>46.59</v>
      </c>
      <c r="AV55" s="62">
        <f t="shared" si="24"/>
        <v>6796681</v>
      </c>
      <c r="AW55" s="62">
        <f t="shared" si="25"/>
        <v>0</v>
      </c>
      <c r="AX55" s="62">
        <f t="shared" si="26"/>
        <v>6796681</v>
      </c>
      <c r="AY55" s="380">
        <f t="shared" si="27"/>
        <v>22.944</v>
      </c>
      <c r="AZ55" s="380">
        <f t="shared" si="28"/>
        <v>21.374</v>
      </c>
      <c r="BA55" s="380">
        <f t="shared" si="29"/>
        <v>44.318</v>
      </c>
      <c r="BB55" s="66">
        <v>0.02</v>
      </c>
      <c r="BC55" s="62">
        <v>10039458</v>
      </c>
      <c r="BD55" s="62">
        <v>0</v>
      </c>
      <c r="BE55" s="62">
        <f t="shared" si="30"/>
        <v>10039458</v>
      </c>
      <c r="BF55" s="62">
        <f t="shared" si="31"/>
        <v>501972900</v>
      </c>
      <c r="BG55" s="66">
        <f t="shared" si="32"/>
        <v>0.02</v>
      </c>
      <c r="BH55" s="66">
        <f t="shared" si="33"/>
        <v>0</v>
      </c>
      <c r="BI55" s="62">
        <f t="shared" si="34"/>
        <v>17066091</v>
      </c>
    </row>
    <row r="56" spans="2:61" ht="12.75">
      <c r="B56" s="60">
        <v>49</v>
      </c>
      <c r="C56" s="61" t="s">
        <v>51</v>
      </c>
      <c r="D56" s="61">
        <f>'Table 4 Formula'!U56</f>
        <v>21600</v>
      </c>
      <c r="E56" s="62">
        <f t="shared" si="35"/>
        <v>9625440</v>
      </c>
      <c r="F56" s="62">
        <f t="shared" si="9"/>
        <v>445.62</v>
      </c>
      <c r="G56" s="62">
        <f t="shared" si="36"/>
        <v>12659305</v>
      </c>
      <c r="H56" s="62">
        <f t="shared" si="10"/>
        <v>586.08</v>
      </c>
      <c r="I56" s="62">
        <v>675812.5</v>
      </c>
      <c r="J56" s="62">
        <f t="shared" si="11"/>
        <v>31.29</v>
      </c>
      <c r="K56" s="62">
        <f t="shared" si="12"/>
        <v>22960557.5</v>
      </c>
      <c r="L56" s="62">
        <f t="shared" si="13"/>
        <v>1062.99</v>
      </c>
      <c r="M56" s="76">
        <f t="shared" si="37"/>
        <v>0.61571923</v>
      </c>
      <c r="N56" s="61">
        <f t="shared" si="38"/>
        <v>47</v>
      </c>
      <c r="O56" s="75">
        <f t="shared" si="39"/>
        <v>31.421</v>
      </c>
      <c r="P56" s="62">
        <f t="shared" si="40"/>
        <v>7356904</v>
      </c>
      <c r="Q56" s="62">
        <f t="shared" si="14"/>
        <v>340.6</v>
      </c>
      <c r="R56" s="66">
        <f t="shared" si="41"/>
        <v>0.0175</v>
      </c>
      <c r="S56" s="62">
        <f t="shared" si="42"/>
        <v>12307658</v>
      </c>
      <c r="T56" s="62">
        <f t="shared" si="15"/>
        <v>569.7989814814815</v>
      </c>
      <c r="U56" s="62">
        <f t="shared" si="16"/>
        <v>675812.5</v>
      </c>
      <c r="V56" s="62">
        <f t="shared" si="17"/>
        <v>31.29</v>
      </c>
      <c r="W56" s="62">
        <f t="shared" si="18"/>
        <v>20340374.5</v>
      </c>
      <c r="X56" s="62">
        <f t="shared" si="19"/>
        <v>941.68</v>
      </c>
      <c r="Y56" s="64">
        <f t="shared" si="20"/>
        <v>0.885879</v>
      </c>
      <c r="Z56" s="61">
        <f t="shared" si="43"/>
        <v>44</v>
      </c>
      <c r="AA56" s="61"/>
      <c r="AB56" s="62">
        <v>314706860</v>
      </c>
      <c r="AC56" s="62">
        <v>80568200</v>
      </c>
      <c r="AD56" s="62">
        <f t="shared" si="21"/>
        <v>234138660</v>
      </c>
      <c r="AE56" s="102">
        <v>4.66</v>
      </c>
      <c r="AF56" s="62">
        <v>1067898</v>
      </c>
      <c r="AG56" s="75">
        <v>16.9</v>
      </c>
      <c r="AH56" s="62">
        <v>3872850</v>
      </c>
      <c r="AI56" s="102">
        <v>0</v>
      </c>
      <c r="AJ56" s="102">
        <v>0</v>
      </c>
      <c r="AK56" s="61">
        <v>0</v>
      </c>
      <c r="AL56" s="62">
        <v>0</v>
      </c>
      <c r="AM56" s="62">
        <f t="shared" si="22"/>
        <v>4940748</v>
      </c>
      <c r="AN56" s="102">
        <v>11.6</v>
      </c>
      <c r="AO56" s="62">
        <v>2416156</v>
      </c>
      <c r="AP56" s="102">
        <v>0</v>
      </c>
      <c r="AQ56" s="102">
        <v>0</v>
      </c>
      <c r="AR56" s="61">
        <v>0</v>
      </c>
      <c r="AS56" s="62">
        <v>0</v>
      </c>
      <c r="AT56" s="62">
        <f t="shared" si="23"/>
        <v>2416156</v>
      </c>
      <c r="AU56" s="102">
        <f t="shared" si="24"/>
        <v>33.16</v>
      </c>
      <c r="AV56" s="62">
        <f t="shared" si="24"/>
        <v>7356904</v>
      </c>
      <c r="AW56" s="62">
        <f t="shared" si="25"/>
        <v>0</v>
      </c>
      <c r="AX56" s="62">
        <f t="shared" si="26"/>
        <v>7356904</v>
      </c>
      <c r="AY56" s="380">
        <f t="shared" si="27"/>
        <v>10.319</v>
      </c>
      <c r="AZ56" s="380">
        <f t="shared" si="28"/>
        <v>21.102</v>
      </c>
      <c r="BA56" s="380">
        <f t="shared" si="29"/>
        <v>31.421</v>
      </c>
      <c r="BB56" s="66">
        <v>0.0175</v>
      </c>
      <c r="BC56" s="62">
        <v>12307658</v>
      </c>
      <c r="BD56" s="62">
        <v>0</v>
      </c>
      <c r="BE56" s="62">
        <f t="shared" si="30"/>
        <v>12307658</v>
      </c>
      <c r="BF56" s="62">
        <f t="shared" si="31"/>
        <v>703294743</v>
      </c>
      <c r="BG56" s="66">
        <f t="shared" si="32"/>
        <v>0.0175</v>
      </c>
      <c r="BH56" s="66">
        <f t="shared" si="33"/>
        <v>0</v>
      </c>
      <c r="BI56" s="62">
        <f t="shared" si="34"/>
        <v>20340374.5</v>
      </c>
    </row>
    <row r="57" spans="2:61" ht="12.75">
      <c r="B57" s="83">
        <v>50</v>
      </c>
      <c r="C57" s="84" t="s">
        <v>52</v>
      </c>
      <c r="D57" s="84">
        <f>'Table 4 Formula'!U57</f>
        <v>11762</v>
      </c>
      <c r="E57" s="85">
        <f t="shared" si="35"/>
        <v>4116505</v>
      </c>
      <c r="F57" s="85">
        <f t="shared" si="9"/>
        <v>349.98</v>
      </c>
      <c r="G57" s="85">
        <f t="shared" si="36"/>
        <v>6666339</v>
      </c>
      <c r="H57" s="85">
        <f t="shared" si="10"/>
        <v>566.77</v>
      </c>
      <c r="I57" s="85">
        <v>570432</v>
      </c>
      <c r="J57" s="85">
        <f t="shared" si="11"/>
        <v>48.5</v>
      </c>
      <c r="K57" s="85">
        <f t="shared" si="12"/>
        <v>11353276</v>
      </c>
      <c r="L57" s="85">
        <f t="shared" si="13"/>
        <v>965.25</v>
      </c>
      <c r="M57" s="94">
        <f t="shared" si="37"/>
        <v>0.55910497</v>
      </c>
      <c r="N57" s="84">
        <f t="shared" si="38"/>
        <v>50</v>
      </c>
      <c r="O57" s="93">
        <f t="shared" si="39"/>
        <v>34.013</v>
      </c>
      <c r="P57" s="85">
        <f t="shared" si="40"/>
        <v>3405861</v>
      </c>
      <c r="Q57" s="85">
        <f t="shared" si="14"/>
        <v>289.56</v>
      </c>
      <c r="R57" s="90">
        <f t="shared" si="41"/>
        <v>0.02</v>
      </c>
      <c r="S57" s="85">
        <f t="shared" si="42"/>
        <v>7407043</v>
      </c>
      <c r="T57" s="85">
        <f t="shared" si="15"/>
        <v>629.743496004081</v>
      </c>
      <c r="U57" s="85">
        <f t="shared" si="16"/>
        <v>570432</v>
      </c>
      <c r="V57" s="85">
        <f t="shared" si="17"/>
        <v>48.5</v>
      </c>
      <c r="W57" s="85">
        <f t="shared" si="18"/>
        <v>11383336</v>
      </c>
      <c r="X57" s="85">
        <f t="shared" si="19"/>
        <v>967.81</v>
      </c>
      <c r="Y57" s="88">
        <f t="shared" si="20"/>
        <v>1.002652</v>
      </c>
      <c r="Z57" s="84">
        <f t="shared" si="43"/>
        <v>29</v>
      </c>
      <c r="AA57" s="84"/>
      <c r="AB57" s="85">
        <v>149432340</v>
      </c>
      <c r="AC57" s="85">
        <v>49298430</v>
      </c>
      <c r="AD57" s="85">
        <f t="shared" si="21"/>
        <v>100133910</v>
      </c>
      <c r="AE57" s="103">
        <v>3.31</v>
      </c>
      <c r="AF57" s="85">
        <v>286502</v>
      </c>
      <c r="AG57" s="93">
        <v>12.11</v>
      </c>
      <c r="AH57" s="85">
        <v>1048190</v>
      </c>
      <c r="AI57" s="103">
        <v>0</v>
      </c>
      <c r="AJ57" s="103">
        <v>0</v>
      </c>
      <c r="AK57" s="84">
        <v>0</v>
      </c>
      <c r="AL57" s="85">
        <v>0</v>
      </c>
      <c r="AM57" s="85">
        <f t="shared" si="22"/>
        <v>1334692</v>
      </c>
      <c r="AN57" s="103">
        <v>24</v>
      </c>
      <c r="AO57" s="85">
        <v>2071169</v>
      </c>
      <c r="AP57" s="103">
        <v>0</v>
      </c>
      <c r="AQ57" s="103">
        <v>0</v>
      </c>
      <c r="AR57" s="84">
        <v>0</v>
      </c>
      <c r="AS57" s="85">
        <v>0</v>
      </c>
      <c r="AT57" s="85">
        <f t="shared" si="23"/>
        <v>2071169</v>
      </c>
      <c r="AU57" s="103">
        <f t="shared" si="24"/>
        <v>39.42</v>
      </c>
      <c r="AV57" s="85">
        <f t="shared" si="24"/>
        <v>3405861</v>
      </c>
      <c r="AW57" s="85">
        <f t="shared" si="25"/>
        <v>0</v>
      </c>
      <c r="AX57" s="85">
        <f t="shared" si="26"/>
        <v>3405861</v>
      </c>
      <c r="AY57" s="381">
        <f t="shared" si="27"/>
        <v>20.684</v>
      </c>
      <c r="AZ57" s="381">
        <f t="shared" si="28"/>
        <v>13.329</v>
      </c>
      <c r="BA57" s="381">
        <f t="shared" si="29"/>
        <v>34.013</v>
      </c>
      <c r="BB57" s="90">
        <v>0.02</v>
      </c>
      <c r="BC57" s="85">
        <v>7182763</v>
      </c>
      <c r="BD57" s="85">
        <v>224280</v>
      </c>
      <c r="BE57" s="85">
        <f t="shared" si="30"/>
        <v>7407043</v>
      </c>
      <c r="BF57" s="85">
        <f t="shared" si="31"/>
        <v>370352150</v>
      </c>
      <c r="BG57" s="90">
        <f t="shared" si="32"/>
        <v>0.0194</v>
      </c>
      <c r="BH57" s="90">
        <f t="shared" si="33"/>
        <v>0.0006</v>
      </c>
      <c r="BI57" s="85">
        <f t="shared" si="34"/>
        <v>11383336</v>
      </c>
    </row>
    <row r="58" spans="2:61" ht="12.75">
      <c r="B58" s="60">
        <v>51</v>
      </c>
      <c r="C58" s="61" t="s">
        <v>53</v>
      </c>
      <c r="D58" s="61">
        <f>'Table 4 Formula'!U58</f>
        <v>14318</v>
      </c>
      <c r="E58" s="62">
        <f t="shared" si="35"/>
        <v>10176210</v>
      </c>
      <c r="F58" s="62">
        <f t="shared" si="9"/>
        <v>710.73</v>
      </c>
      <c r="G58" s="62">
        <f t="shared" si="36"/>
        <v>11760596</v>
      </c>
      <c r="H58" s="62">
        <f t="shared" si="10"/>
        <v>821.39</v>
      </c>
      <c r="I58" s="62">
        <v>590245</v>
      </c>
      <c r="J58" s="62">
        <f t="shared" si="11"/>
        <v>41.22</v>
      </c>
      <c r="K58" s="62">
        <f t="shared" si="12"/>
        <v>22527051</v>
      </c>
      <c r="L58" s="62">
        <f t="shared" si="13"/>
        <v>1573.34</v>
      </c>
      <c r="M58" s="76">
        <f t="shared" si="37"/>
        <v>0.91133096</v>
      </c>
      <c r="N58" s="61">
        <f t="shared" si="38"/>
        <v>22</v>
      </c>
      <c r="O58" s="75">
        <f t="shared" si="39"/>
        <v>40.59</v>
      </c>
      <c r="P58" s="62">
        <f t="shared" si="40"/>
        <v>10047483</v>
      </c>
      <c r="Q58" s="62">
        <f t="shared" si="14"/>
        <v>701.74</v>
      </c>
      <c r="R58" s="66">
        <f t="shared" si="41"/>
        <v>0.0175</v>
      </c>
      <c r="S58" s="62">
        <f t="shared" si="42"/>
        <v>11433913</v>
      </c>
      <c r="T58" s="62">
        <f t="shared" si="15"/>
        <v>798.5691437351585</v>
      </c>
      <c r="U58" s="62">
        <f t="shared" si="16"/>
        <v>590245</v>
      </c>
      <c r="V58" s="62">
        <f t="shared" si="17"/>
        <v>41.22</v>
      </c>
      <c r="W58" s="62">
        <f t="shared" si="18"/>
        <v>22071641</v>
      </c>
      <c r="X58" s="62">
        <f t="shared" si="19"/>
        <v>1541.53</v>
      </c>
      <c r="Y58" s="64">
        <f t="shared" si="20"/>
        <v>0.979782</v>
      </c>
      <c r="Z58" s="61">
        <f t="shared" si="43"/>
        <v>34</v>
      </c>
      <c r="AA58" s="61"/>
      <c r="AB58" s="62">
        <v>294029400</v>
      </c>
      <c r="AC58" s="62">
        <v>46493269</v>
      </c>
      <c r="AD58" s="62">
        <f t="shared" si="21"/>
        <v>247536131</v>
      </c>
      <c r="AE58" s="102">
        <v>8.65</v>
      </c>
      <c r="AF58" s="62">
        <v>2080474</v>
      </c>
      <c r="AG58" s="75">
        <v>11.45</v>
      </c>
      <c r="AH58" s="62">
        <v>2751557</v>
      </c>
      <c r="AI58" s="102">
        <v>10.38</v>
      </c>
      <c r="AJ58" s="102">
        <v>13.37</v>
      </c>
      <c r="AK58" s="61">
        <v>3</v>
      </c>
      <c r="AL58" s="62">
        <v>2920549</v>
      </c>
      <c r="AM58" s="62">
        <f t="shared" si="22"/>
        <v>7752580</v>
      </c>
      <c r="AN58" s="102">
        <v>0</v>
      </c>
      <c r="AO58" s="62">
        <v>0</v>
      </c>
      <c r="AP58" s="102">
        <v>10</v>
      </c>
      <c r="AQ58" s="102">
        <v>33</v>
      </c>
      <c r="AR58" s="61">
        <v>2</v>
      </c>
      <c r="AS58" s="62">
        <v>2294903</v>
      </c>
      <c r="AT58" s="62">
        <f t="shared" si="23"/>
        <v>2294903</v>
      </c>
      <c r="AU58" s="102">
        <f t="shared" si="24"/>
        <v>20.1</v>
      </c>
      <c r="AV58" s="62">
        <f t="shared" si="24"/>
        <v>4832031</v>
      </c>
      <c r="AW58" s="62">
        <f t="shared" si="25"/>
        <v>5215452</v>
      </c>
      <c r="AX58" s="62">
        <f t="shared" si="26"/>
        <v>10047483</v>
      </c>
      <c r="AY58" s="380">
        <f t="shared" si="27"/>
        <v>9.271</v>
      </c>
      <c r="AZ58" s="380">
        <f t="shared" si="28"/>
        <v>31.319</v>
      </c>
      <c r="BA58" s="380">
        <f t="shared" si="29"/>
        <v>40.59</v>
      </c>
      <c r="BB58" s="66">
        <v>0.0175</v>
      </c>
      <c r="BC58" s="62">
        <v>11433913</v>
      </c>
      <c r="BD58" s="62">
        <v>0</v>
      </c>
      <c r="BE58" s="62">
        <f t="shared" si="30"/>
        <v>11433913</v>
      </c>
      <c r="BF58" s="62">
        <f t="shared" si="31"/>
        <v>653366457</v>
      </c>
      <c r="BG58" s="66">
        <f t="shared" si="32"/>
        <v>0.0175</v>
      </c>
      <c r="BH58" s="66">
        <f t="shared" si="33"/>
        <v>0</v>
      </c>
      <c r="BI58" s="62">
        <f t="shared" si="34"/>
        <v>22071641</v>
      </c>
    </row>
    <row r="59" spans="2:61" ht="12.75">
      <c r="B59" s="60">
        <v>52</v>
      </c>
      <c r="C59" s="61" t="s">
        <v>54</v>
      </c>
      <c r="D59" s="61">
        <f>'Table 4 Formula'!U59</f>
        <v>43850</v>
      </c>
      <c r="E59" s="62">
        <f t="shared" si="35"/>
        <v>19408180</v>
      </c>
      <c r="F59" s="62">
        <f t="shared" si="9"/>
        <v>442.6</v>
      </c>
      <c r="G59" s="62">
        <f t="shared" si="36"/>
        <v>42796183</v>
      </c>
      <c r="H59" s="62">
        <f t="shared" si="10"/>
        <v>975.97</v>
      </c>
      <c r="I59" s="62">
        <v>1753710</v>
      </c>
      <c r="J59" s="62">
        <f t="shared" si="11"/>
        <v>39.99</v>
      </c>
      <c r="K59" s="62">
        <f t="shared" si="12"/>
        <v>63958073</v>
      </c>
      <c r="L59" s="62">
        <f t="shared" si="13"/>
        <v>1458.56</v>
      </c>
      <c r="M59" s="76">
        <f t="shared" si="37"/>
        <v>0.84484656</v>
      </c>
      <c r="N59" s="61">
        <f t="shared" si="38"/>
        <v>27</v>
      </c>
      <c r="O59" s="75">
        <f t="shared" si="39"/>
        <v>85.802</v>
      </c>
      <c r="P59" s="62">
        <f t="shared" si="40"/>
        <v>40507423</v>
      </c>
      <c r="Q59" s="62">
        <f t="shared" si="14"/>
        <v>923.77</v>
      </c>
      <c r="R59" s="66">
        <f t="shared" si="41"/>
        <v>0.02</v>
      </c>
      <c r="S59" s="62">
        <f t="shared" si="42"/>
        <v>47551314</v>
      </c>
      <c r="T59" s="62">
        <f t="shared" si="15"/>
        <v>1084.408529076397</v>
      </c>
      <c r="U59" s="62">
        <f t="shared" si="16"/>
        <v>1753710</v>
      </c>
      <c r="V59" s="62">
        <f t="shared" si="17"/>
        <v>39.99</v>
      </c>
      <c r="W59" s="62">
        <f t="shared" si="18"/>
        <v>89812447</v>
      </c>
      <c r="X59" s="62">
        <f t="shared" si="19"/>
        <v>2048.17</v>
      </c>
      <c r="Y59" s="64">
        <f t="shared" si="20"/>
        <v>1.404241</v>
      </c>
      <c r="Z59" s="61">
        <f t="shared" si="43"/>
        <v>3</v>
      </c>
      <c r="AA59" s="61"/>
      <c r="AB59" s="62">
        <v>793946387</v>
      </c>
      <c r="AC59" s="62">
        <v>321842771</v>
      </c>
      <c r="AD59" s="62">
        <f t="shared" si="21"/>
        <v>472103616</v>
      </c>
      <c r="AE59" s="102">
        <v>4.47</v>
      </c>
      <c r="AF59" s="62">
        <v>2078968</v>
      </c>
      <c r="AG59" s="75">
        <v>56.73</v>
      </c>
      <c r="AH59" s="62">
        <v>26382434</v>
      </c>
      <c r="AI59" s="102">
        <v>0</v>
      </c>
      <c r="AJ59" s="102">
        <v>0</v>
      </c>
      <c r="AK59" s="61">
        <v>0</v>
      </c>
      <c r="AL59" s="62">
        <v>0</v>
      </c>
      <c r="AM59" s="62">
        <f t="shared" si="22"/>
        <v>28461402</v>
      </c>
      <c r="AN59" s="102">
        <v>25.9</v>
      </c>
      <c r="AO59" s="62">
        <v>12046021</v>
      </c>
      <c r="AP59" s="102">
        <v>0</v>
      </c>
      <c r="AQ59" s="102">
        <v>0</v>
      </c>
      <c r="AR59" s="61">
        <v>0</v>
      </c>
      <c r="AS59" s="62">
        <v>0</v>
      </c>
      <c r="AT59" s="62">
        <f t="shared" si="23"/>
        <v>12046021</v>
      </c>
      <c r="AU59" s="102">
        <f t="shared" si="24"/>
        <v>87.1</v>
      </c>
      <c r="AV59" s="62">
        <f t="shared" si="24"/>
        <v>40507423</v>
      </c>
      <c r="AW59" s="62">
        <f t="shared" si="25"/>
        <v>0</v>
      </c>
      <c r="AX59" s="62">
        <f t="shared" si="26"/>
        <v>40507423</v>
      </c>
      <c r="AY59" s="380">
        <f t="shared" si="27"/>
        <v>25.516</v>
      </c>
      <c r="AZ59" s="380">
        <f t="shared" si="28"/>
        <v>60.286</v>
      </c>
      <c r="BA59" s="380">
        <f t="shared" si="29"/>
        <v>85.802</v>
      </c>
      <c r="BB59" s="66">
        <v>0.02</v>
      </c>
      <c r="BC59" s="62">
        <v>45561314</v>
      </c>
      <c r="BD59" s="62">
        <v>1990000</v>
      </c>
      <c r="BE59" s="62">
        <f t="shared" si="30"/>
        <v>47551314</v>
      </c>
      <c r="BF59" s="62">
        <f t="shared" si="31"/>
        <v>2377565700</v>
      </c>
      <c r="BG59" s="66">
        <f t="shared" si="32"/>
        <v>0.0192</v>
      </c>
      <c r="BH59" s="66">
        <f t="shared" si="33"/>
        <v>0.0008</v>
      </c>
      <c r="BI59" s="62">
        <f t="shared" si="34"/>
        <v>89812447</v>
      </c>
    </row>
    <row r="60" spans="2:61" ht="12.75">
      <c r="B60" s="60">
        <v>53</v>
      </c>
      <c r="C60" s="61" t="s">
        <v>55</v>
      </c>
      <c r="D60" s="61">
        <f>'Table 4 Formula'!U60</f>
        <v>24504</v>
      </c>
      <c r="E60" s="62">
        <f t="shared" si="35"/>
        <v>7671529</v>
      </c>
      <c r="F60" s="62">
        <f t="shared" si="9"/>
        <v>313.07</v>
      </c>
      <c r="G60" s="62">
        <f t="shared" si="36"/>
        <v>18621870</v>
      </c>
      <c r="H60" s="62">
        <f t="shared" si="10"/>
        <v>759.95</v>
      </c>
      <c r="I60" s="62">
        <v>111207</v>
      </c>
      <c r="J60" s="62">
        <f t="shared" si="11"/>
        <v>4.54</v>
      </c>
      <c r="K60" s="62">
        <f t="shared" si="12"/>
        <v>26404606</v>
      </c>
      <c r="L60" s="62">
        <f t="shared" si="13"/>
        <v>1077.56</v>
      </c>
      <c r="M60" s="76">
        <f t="shared" si="37"/>
        <v>0.62415866</v>
      </c>
      <c r="N60" s="61">
        <f t="shared" si="38"/>
        <v>46</v>
      </c>
      <c r="O60" s="75">
        <f t="shared" si="39"/>
        <v>20.216</v>
      </c>
      <c r="P60" s="62">
        <f t="shared" si="40"/>
        <v>3772456</v>
      </c>
      <c r="Q60" s="62">
        <f t="shared" si="14"/>
        <v>153.95</v>
      </c>
      <c r="R60" s="66">
        <f t="shared" si="41"/>
        <v>0.02</v>
      </c>
      <c r="S60" s="62">
        <f t="shared" si="42"/>
        <v>20690967</v>
      </c>
      <c r="T60" s="62">
        <f t="shared" si="15"/>
        <v>844.3914054848188</v>
      </c>
      <c r="U60" s="62">
        <f t="shared" si="16"/>
        <v>111207</v>
      </c>
      <c r="V60" s="62">
        <f t="shared" si="17"/>
        <v>4.54</v>
      </c>
      <c r="W60" s="62">
        <f t="shared" si="18"/>
        <v>24574630</v>
      </c>
      <c r="X60" s="62">
        <f t="shared" si="19"/>
        <v>1002.88</v>
      </c>
      <c r="Y60" s="64">
        <f t="shared" si="20"/>
        <v>0.930695</v>
      </c>
      <c r="Z60" s="61">
        <f t="shared" si="43"/>
        <v>40</v>
      </c>
      <c r="AA60" s="61"/>
      <c r="AB60" s="62">
        <v>301906381</v>
      </c>
      <c r="AC60" s="62">
        <v>115296566</v>
      </c>
      <c r="AD60" s="62">
        <f t="shared" si="21"/>
        <v>186609815</v>
      </c>
      <c r="AE60" s="102">
        <v>4.06</v>
      </c>
      <c r="AF60" s="62">
        <v>761431</v>
      </c>
      <c r="AG60" s="75">
        <v>0</v>
      </c>
      <c r="AH60" s="62">
        <v>0</v>
      </c>
      <c r="AI60" s="102">
        <v>0</v>
      </c>
      <c r="AJ60" s="102">
        <v>3</v>
      </c>
      <c r="AK60" s="61">
        <v>1</v>
      </c>
      <c r="AL60" s="62">
        <v>334575</v>
      </c>
      <c r="AM60" s="62">
        <f t="shared" si="22"/>
        <v>1096006</v>
      </c>
      <c r="AN60" s="102">
        <v>0</v>
      </c>
      <c r="AO60" s="62">
        <v>0</v>
      </c>
      <c r="AP60" s="102">
        <v>8</v>
      </c>
      <c r="AQ60" s="102">
        <v>44</v>
      </c>
      <c r="AR60" s="61">
        <v>8</v>
      </c>
      <c r="AS60" s="62">
        <v>2676450</v>
      </c>
      <c r="AT60" s="62">
        <f t="shared" si="23"/>
        <v>2676450</v>
      </c>
      <c r="AU60" s="102">
        <f t="shared" si="24"/>
        <v>4.06</v>
      </c>
      <c r="AV60" s="62">
        <f t="shared" si="24"/>
        <v>761431</v>
      </c>
      <c r="AW60" s="62">
        <f t="shared" si="25"/>
        <v>3011025</v>
      </c>
      <c r="AX60" s="62">
        <f t="shared" si="26"/>
        <v>3772456</v>
      </c>
      <c r="AY60" s="380">
        <f t="shared" si="27"/>
        <v>14.342</v>
      </c>
      <c r="AZ60" s="380">
        <f t="shared" si="28"/>
        <v>5.873</v>
      </c>
      <c r="BA60" s="380">
        <f t="shared" si="29"/>
        <v>20.216</v>
      </c>
      <c r="BB60" s="66">
        <v>0.02</v>
      </c>
      <c r="BC60" s="62">
        <v>17410800</v>
      </c>
      <c r="BD60" s="62">
        <v>3280167</v>
      </c>
      <c r="BE60" s="62">
        <f t="shared" si="30"/>
        <v>20690967</v>
      </c>
      <c r="BF60" s="62">
        <f t="shared" si="31"/>
        <v>1034548350</v>
      </c>
      <c r="BG60" s="66">
        <f t="shared" si="32"/>
        <v>0.0168</v>
      </c>
      <c r="BH60" s="66">
        <f t="shared" si="33"/>
        <v>0.0032</v>
      </c>
      <c r="BI60" s="62">
        <f t="shared" si="34"/>
        <v>24574630</v>
      </c>
    </row>
    <row r="61" spans="2:61" ht="12.75">
      <c r="B61" s="60">
        <v>54</v>
      </c>
      <c r="C61" s="61" t="s">
        <v>56</v>
      </c>
      <c r="D61" s="61">
        <f>'Table 4 Formula'!U61</f>
        <v>1768</v>
      </c>
      <c r="E61" s="62">
        <f t="shared" si="35"/>
        <v>1463140</v>
      </c>
      <c r="F61" s="62">
        <f t="shared" si="9"/>
        <v>827.57</v>
      </c>
      <c r="G61" s="62">
        <f t="shared" si="36"/>
        <v>751252</v>
      </c>
      <c r="H61" s="62">
        <f t="shared" si="10"/>
        <v>424.92</v>
      </c>
      <c r="I61" s="62">
        <v>53069.5</v>
      </c>
      <c r="J61" s="62">
        <f t="shared" si="11"/>
        <v>30.02</v>
      </c>
      <c r="K61" s="62">
        <f t="shared" si="12"/>
        <v>2267461.5</v>
      </c>
      <c r="L61" s="62">
        <f t="shared" si="13"/>
        <v>1282.5</v>
      </c>
      <c r="M61" s="76">
        <f t="shared" si="37"/>
        <v>0.74286674</v>
      </c>
      <c r="N61" s="61">
        <f t="shared" si="38"/>
        <v>32</v>
      </c>
      <c r="O61" s="75">
        <f t="shared" si="39"/>
        <v>20.348</v>
      </c>
      <c r="P61" s="62">
        <f t="shared" si="40"/>
        <v>724201</v>
      </c>
      <c r="Q61" s="62">
        <f t="shared" si="14"/>
        <v>409.62</v>
      </c>
      <c r="R61" s="66">
        <f t="shared" si="41"/>
        <v>0.01</v>
      </c>
      <c r="S61" s="62">
        <f t="shared" si="42"/>
        <v>417362</v>
      </c>
      <c r="T61" s="62">
        <f t="shared" si="15"/>
        <v>236.06447963800906</v>
      </c>
      <c r="U61" s="62">
        <f t="shared" si="16"/>
        <v>53069.5</v>
      </c>
      <c r="V61" s="62">
        <f t="shared" si="17"/>
        <v>30.02</v>
      </c>
      <c r="W61" s="62">
        <f t="shared" si="18"/>
        <v>1194632.5</v>
      </c>
      <c r="X61" s="62">
        <f t="shared" si="19"/>
        <v>675.7</v>
      </c>
      <c r="Y61" s="64">
        <f t="shared" si="20"/>
        <v>0.526862</v>
      </c>
      <c r="Z61" s="61">
        <f t="shared" si="43"/>
        <v>65</v>
      </c>
      <c r="AA61" s="61"/>
      <c r="AB61" s="62">
        <v>41971008</v>
      </c>
      <c r="AC61" s="62">
        <v>6380145</v>
      </c>
      <c r="AD61" s="62">
        <f t="shared" si="21"/>
        <v>35590863</v>
      </c>
      <c r="AE61" s="102">
        <v>3.94</v>
      </c>
      <c r="AF61" s="62">
        <v>140559</v>
      </c>
      <c r="AG61" s="75">
        <v>16.36</v>
      </c>
      <c r="AH61" s="62">
        <v>583642</v>
      </c>
      <c r="AI61" s="102">
        <v>0</v>
      </c>
      <c r="AJ61" s="102">
        <v>0</v>
      </c>
      <c r="AK61" s="61">
        <v>0</v>
      </c>
      <c r="AL61" s="62">
        <v>0</v>
      </c>
      <c r="AM61" s="62">
        <f t="shared" si="22"/>
        <v>724201</v>
      </c>
      <c r="AN61" s="102">
        <v>0</v>
      </c>
      <c r="AO61" s="62">
        <v>0</v>
      </c>
      <c r="AP61" s="102">
        <v>0</v>
      </c>
      <c r="AQ61" s="102">
        <v>0</v>
      </c>
      <c r="AR61" s="61">
        <v>0</v>
      </c>
      <c r="AS61" s="62">
        <v>0</v>
      </c>
      <c r="AT61" s="62">
        <f t="shared" si="23"/>
        <v>0</v>
      </c>
      <c r="AU61" s="102">
        <f t="shared" si="24"/>
        <v>20.3</v>
      </c>
      <c r="AV61" s="62">
        <f t="shared" si="24"/>
        <v>724201</v>
      </c>
      <c r="AW61" s="62">
        <f t="shared" si="25"/>
        <v>0</v>
      </c>
      <c r="AX61" s="62">
        <f t="shared" si="26"/>
        <v>724201</v>
      </c>
      <c r="AY61" s="380">
        <f t="shared" si="27"/>
        <v>0</v>
      </c>
      <c r="AZ61" s="380">
        <f t="shared" si="28"/>
        <v>20.348</v>
      </c>
      <c r="BA61" s="380">
        <f t="shared" si="29"/>
        <v>20.348</v>
      </c>
      <c r="BB61" s="66">
        <v>0.01</v>
      </c>
      <c r="BC61" s="62">
        <v>417362</v>
      </c>
      <c r="BD61" s="62">
        <v>0</v>
      </c>
      <c r="BE61" s="62">
        <f t="shared" si="30"/>
        <v>417362</v>
      </c>
      <c r="BF61" s="62">
        <f t="shared" si="31"/>
        <v>41736200</v>
      </c>
      <c r="BG61" s="66">
        <f t="shared" si="32"/>
        <v>0.01</v>
      </c>
      <c r="BH61" s="66">
        <f t="shared" si="33"/>
        <v>0</v>
      </c>
      <c r="BI61" s="62">
        <f t="shared" si="34"/>
        <v>1194632.5</v>
      </c>
    </row>
    <row r="62" spans="2:61" ht="12.75">
      <c r="B62" s="83">
        <v>55</v>
      </c>
      <c r="C62" s="84" t="s">
        <v>57</v>
      </c>
      <c r="D62" s="84">
        <f>'Table 4 Formula'!U62</f>
        <v>26998</v>
      </c>
      <c r="E62" s="85">
        <f t="shared" si="35"/>
        <v>13548266</v>
      </c>
      <c r="F62" s="85">
        <f t="shared" si="9"/>
        <v>501.82</v>
      </c>
      <c r="G62" s="85">
        <f t="shared" si="36"/>
        <v>26153394</v>
      </c>
      <c r="H62" s="85">
        <f t="shared" si="10"/>
        <v>968.72</v>
      </c>
      <c r="I62" s="85">
        <v>748273.5</v>
      </c>
      <c r="J62" s="85">
        <f t="shared" si="11"/>
        <v>27.72</v>
      </c>
      <c r="K62" s="85">
        <f t="shared" si="12"/>
        <v>40449933.5</v>
      </c>
      <c r="L62" s="85">
        <f t="shared" si="13"/>
        <v>1498.26</v>
      </c>
      <c r="M62" s="94">
        <f t="shared" si="37"/>
        <v>0.86784212</v>
      </c>
      <c r="N62" s="84">
        <f t="shared" si="38"/>
        <v>26</v>
      </c>
      <c r="O62" s="93">
        <f t="shared" si="39"/>
        <v>19.255</v>
      </c>
      <c r="P62" s="85">
        <f t="shared" si="40"/>
        <v>6345839</v>
      </c>
      <c r="Q62" s="85">
        <f t="shared" si="14"/>
        <v>235.05</v>
      </c>
      <c r="R62" s="90">
        <f t="shared" si="41"/>
        <v>0.0208</v>
      </c>
      <c r="S62" s="85">
        <f t="shared" si="42"/>
        <v>30221700</v>
      </c>
      <c r="T62" s="85">
        <f t="shared" si="15"/>
        <v>1119.4051411215646</v>
      </c>
      <c r="U62" s="85">
        <f t="shared" si="16"/>
        <v>748273.5</v>
      </c>
      <c r="V62" s="85">
        <f t="shared" si="17"/>
        <v>27.72</v>
      </c>
      <c r="W62" s="85">
        <f t="shared" si="18"/>
        <v>37315812.5</v>
      </c>
      <c r="X62" s="85">
        <f t="shared" si="19"/>
        <v>1382.17</v>
      </c>
      <c r="Y62" s="88">
        <f t="shared" si="20"/>
        <v>0.922517</v>
      </c>
      <c r="Z62" s="84">
        <f t="shared" si="43"/>
        <v>41</v>
      </c>
      <c r="AA62" s="84"/>
      <c r="AB62" s="85">
        <v>443101205</v>
      </c>
      <c r="AC62" s="85">
        <v>113539890</v>
      </c>
      <c r="AD62" s="85">
        <f t="shared" si="21"/>
        <v>329561315</v>
      </c>
      <c r="AE62" s="103">
        <v>3.86</v>
      </c>
      <c r="AF62" s="85">
        <v>1307051</v>
      </c>
      <c r="AG62" s="93">
        <v>5.41</v>
      </c>
      <c r="AH62" s="85">
        <v>1831906</v>
      </c>
      <c r="AI62" s="103">
        <v>0</v>
      </c>
      <c r="AJ62" s="103">
        <v>0</v>
      </c>
      <c r="AK62" s="84">
        <v>0</v>
      </c>
      <c r="AL62" s="85">
        <v>0</v>
      </c>
      <c r="AM62" s="85">
        <f t="shared" si="22"/>
        <v>3138957</v>
      </c>
      <c r="AN62" s="103">
        <v>9.47</v>
      </c>
      <c r="AO62" s="85">
        <v>3206882</v>
      </c>
      <c r="AP62" s="103">
        <v>0</v>
      </c>
      <c r="AQ62" s="103">
        <v>0</v>
      </c>
      <c r="AR62" s="84">
        <v>0</v>
      </c>
      <c r="AS62" s="85">
        <v>0</v>
      </c>
      <c r="AT62" s="85">
        <f t="shared" si="23"/>
        <v>3206882</v>
      </c>
      <c r="AU62" s="103">
        <f t="shared" si="24"/>
        <v>18.740000000000002</v>
      </c>
      <c r="AV62" s="85">
        <f t="shared" si="24"/>
        <v>6345839</v>
      </c>
      <c r="AW62" s="85">
        <f t="shared" si="25"/>
        <v>0</v>
      </c>
      <c r="AX62" s="85">
        <f t="shared" si="26"/>
        <v>6345839</v>
      </c>
      <c r="AY62" s="381">
        <f t="shared" si="27"/>
        <v>9.731</v>
      </c>
      <c r="AZ62" s="381">
        <f t="shared" si="28"/>
        <v>9.525</v>
      </c>
      <c r="BA62" s="381">
        <f t="shared" si="29"/>
        <v>19.255</v>
      </c>
      <c r="BB62" s="90">
        <v>0.0208</v>
      </c>
      <c r="BC62" s="85">
        <v>30221700</v>
      </c>
      <c r="BD62" s="85">
        <v>0</v>
      </c>
      <c r="BE62" s="85">
        <f t="shared" si="30"/>
        <v>30221700</v>
      </c>
      <c r="BF62" s="85">
        <f t="shared" si="31"/>
        <v>1452966346</v>
      </c>
      <c r="BG62" s="90">
        <f t="shared" si="32"/>
        <v>0.0208</v>
      </c>
      <c r="BH62" s="90">
        <f t="shared" si="33"/>
        <v>0</v>
      </c>
      <c r="BI62" s="85">
        <f t="shared" si="34"/>
        <v>37315812.5</v>
      </c>
    </row>
    <row r="63" spans="2:61" ht="12.75">
      <c r="B63" s="60">
        <v>56</v>
      </c>
      <c r="C63" s="61" t="s">
        <v>58</v>
      </c>
      <c r="D63" s="61">
        <f>'Table 4 Formula'!U63</f>
        <v>4907</v>
      </c>
      <c r="E63" s="62">
        <f t="shared" si="35"/>
        <v>2486344</v>
      </c>
      <c r="F63" s="62">
        <f t="shared" si="9"/>
        <v>506.69</v>
      </c>
      <c r="G63" s="62">
        <f t="shared" si="36"/>
        <v>3198604</v>
      </c>
      <c r="H63" s="62">
        <f t="shared" si="10"/>
        <v>651.85</v>
      </c>
      <c r="I63" s="62">
        <v>148335</v>
      </c>
      <c r="J63" s="62">
        <f t="shared" si="11"/>
        <v>30.23</v>
      </c>
      <c r="K63" s="62">
        <f t="shared" si="12"/>
        <v>5833283</v>
      </c>
      <c r="L63" s="62">
        <f t="shared" si="13"/>
        <v>1188.77</v>
      </c>
      <c r="M63" s="76">
        <f t="shared" si="37"/>
        <v>0.6885752</v>
      </c>
      <c r="N63" s="61">
        <f t="shared" si="38"/>
        <v>37</v>
      </c>
      <c r="O63" s="75">
        <f t="shared" si="39"/>
        <v>15.525</v>
      </c>
      <c r="P63" s="62">
        <f t="shared" si="40"/>
        <v>938982</v>
      </c>
      <c r="Q63" s="62">
        <f t="shared" si="14"/>
        <v>191.36</v>
      </c>
      <c r="R63" s="66">
        <f t="shared" si="41"/>
        <v>0.01</v>
      </c>
      <c r="S63" s="62">
        <f t="shared" si="42"/>
        <v>1777002</v>
      </c>
      <c r="T63" s="62">
        <f t="shared" si="15"/>
        <v>362.1361320562462</v>
      </c>
      <c r="U63" s="62">
        <f t="shared" si="16"/>
        <v>148335</v>
      </c>
      <c r="V63" s="62">
        <f t="shared" si="17"/>
        <v>30.23</v>
      </c>
      <c r="W63" s="62">
        <f t="shared" si="18"/>
        <v>2864319</v>
      </c>
      <c r="X63" s="62">
        <f t="shared" si="19"/>
        <v>583.72</v>
      </c>
      <c r="Y63" s="64">
        <f t="shared" si="20"/>
        <v>0.491029</v>
      </c>
      <c r="Z63" s="61">
        <f t="shared" si="43"/>
        <v>66</v>
      </c>
      <c r="AA63" s="61"/>
      <c r="AB63" s="62">
        <v>83991790</v>
      </c>
      <c r="AC63" s="62">
        <v>23511520</v>
      </c>
      <c r="AD63" s="62">
        <f t="shared" si="21"/>
        <v>60480270</v>
      </c>
      <c r="AE63" s="102">
        <v>3.27</v>
      </c>
      <c r="AF63" s="62">
        <v>208762</v>
      </c>
      <c r="AG63" s="75">
        <v>2.98</v>
      </c>
      <c r="AH63" s="62">
        <v>172138</v>
      </c>
      <c r="AI63" s="102">
        <v>1.52</v>
      </c>
      <c r="AJ63" s="102">
        <v>1.72</v>
      </c>
      <c r="AK63" s="61">
        <v>9</v>
      </c>
      <c r="AL63" s="62">
        <v>99498</v>
      </c>
      <c r="AM63" s="62">
        <f t="shared" si="22"/>
        <v>480398</v>
      </c>
      <c r="AN63" s="102">
        <v>7</v>
      </c>
      <c r="AO63" s="62">
        <v>458584</v>
      </c>
      <c r="AP63" s="102">
        <v>0</v>
      </c>
      <c r="AQ63" s="102">
        <v>0</v>
      </c>
      <c r="AR63" s="61">
        <v>0</v>
      </c>
      <c r="AS63" s="62">
        <v>0</v>
      </c>
      <c r="AT63" s="62">
        <f t="shared" si="23"/>
        <v>458584</v>
      </c>
      <c r="AU63" s="102">
        <f t="shared" si="24"/>
        <v>13.25</v>
      </c>
      <c r="AV63" s="62">
        <f t="shared" si="24"/>
        <v>839484</v>
      </c>
      <c r="AW63" s="62">
        <f t="shared" si="25"/>
        <v>99498</v>
      </c>
      <c r="AX63" s="62">
        <f t="shared" si="26"/>
        <v>938982</v>
      </c>
      <c r="AY63" s="380">
        <f t="shared" si="27"/>
        <v>7.582</v>
      </c>
      <c r="AZ63" s="380">
        <f t="shared" si="28"/>
        <v>7.943</v>
      </c>
      <c r="BA63" s="380">
        <f t="shared" si="29"/>
        <v>15.525</v>
      </c>
      <c r="BB63" s="66">
        <v>0.01</v>
      </c>
      <c r="BC63" s="62">
        <v>1777002</v>
      </c>
      <c r="BD63" s="62">
        <v>0</v>
      </c>
      <c r="BE63" s="62">
        <f t="shared" si="30"/>
        <v>1777002</v>
      </c>
      <c r="BF63" s="62">
        <f t="shared" si="31"/>
        <v>177700200</v>
      </c>
      <c r="BG63" s="66">
        <f t="shared" si="32"/>
        <v>0.01</v>
      </c>
      <c r="BH63" s="66">
        <f t="shared" si="33"/>
        <v>0</v>
      </c>
      <c r="BI63" s="62">
        <f t="shared" si="34"/>
        <v>2864319</v>
      </c>
    </row>
    <row r="64" spans="2:61" ht="12.75">
      <c r="B64" s="60">
        <v>57</v>
      </c>
      <c r="C64" s="61" t="s">
        <v>59</v>
      </c>
      <c r="D64" s="61">
        <f>'Table 4 Formula'!U64</f>
        <v>11992</v>
      </c>
      <c r="E64" s="62">
        <f t="shared" si="35"/>
        <v>7253355</v>
      </c>
      <c r="F64" s="62">
        <f t="shared" si="9"/>
        <v>604.85</v>
      </c>
      <c r="G64" s="62">
        <f t="shared" si="36"/>
        <v>9094248</v>
      </c>
      <c r="H64" s="62">
        <f t="shared" si="10"/>
        <v>758.36</v>
      </c>
      <c r="I64" s="62">
        <v>2011575.5</v>
      </c>
      <c r="J64" s="62">
        <f t="shared" si="11"/>
        <v>167.74</v>
      </c>
      <c r="K64" s="62">
        <f t="shared" si="12"/>
        <v>18359178.5</v>
      </c>
      <c r="L64" s="62">
        <f t="shared" si="13"/>
        <v>1530.95</v>
      </c>
      <c r="M64" s="76">
        <f t="shared" si="37"/>
        <v>0.88677726</v>
      </c>
      <c r="N64" s="61">
        <f t="shared" si="38"/>
        <v>23</v>
      </c>
      <c r="O64" s="75">
        <f t="shared" si="39"/>
        <v>39.715</v>
      </c>
      <c r="P64" s="62">
        <f t="shared" si="40"/>
        <v>7007140</v>
      </c>
      <c r="Q64" s="62">
        <f t="shared" si="14"/>
        <v>584.32</v>
      </c>
      <c r="R64" s="66">
        <f t="shared" si="41"/>
        <v>0.01</v>
      </c>
      <c r="S64" s="62">
        <f t="shared" si="42"/>
        <v>5052360</v>
      </c>
      <c r="T64" s="62">
        <f t="shared" si="15"/>
        <v>421.31087391594394</v>
      </c>
      <c r="U64" s="62">
        <f t="shared" si="16"/>
        <v>2011575.5</v>
      </c>
      <c r="V64" s="62">
        <f t="shared" si="17"/>
        <v>167.74</v>
      </c>
      <c r="W64" s="62">
        <f t="shared" si="18"/>
        <v>14071075.5</v>
      </c>
      <c r="X64" s="62">
        <f t="shared" si="19"/>
        <v>1173.37</v>
      </c>
      <c r="Y64" s="64">
        <f t="shared" si="20"/>
        <v>0.766433</v>
      </c>
      <c r="Z64" s="61">
        <f t="shared" si="43"/>
        <v>53</v>
      </c>
      <c r="AA64" s="61"/>
      <c r="AB64" s="62">
        <v>233593110</v>
      </c>
      <c r="AC64" s="62">
        <v>57155370</v>
      </c>
      <c r="AD64" s="62">
        <f t="shared" si="21"/>
        <v>176437740</v>
      </c>
      <c r="AE64" s="102">
        <v>4.4</v>
      </c>
      <c r="AF64" s="62">
        <v>755187</v>
      </c>
      <c r="AG64" s="75">
        <v>35</v>
      </c>
      <c r="AH64" s="62">
        <v>6021643</v>
      </c>
      <c r="AI64" s="102">
        <v>0</v>
      </c>
      <c r="AJ64" s="102">
        <v>0</v>
      </c>
      <c r="AK64" s="61">
        <v>0</v>
      </c>
      <c r="AL64" s="62">
        <v>0</v>
      </c>
      <c r="AM64" s="62">
        <f t="shared" si="22"/>
        <v>6776830</v>
      </c>
      <c r="AN64" s="102">
        <v>1.33</v>
      </c>
      <c r="AO64" s="62">
        <v>230310</v>
      </c>
      <c r="AP64" s="102">
        <v>0</v>
      </c>
      <c r="AQ64" s="102">
        <v>0</v>
      </c>
      <c r="AR64" s="61">
        <v>0</v>
      </c>
      <c r="AS64" s="62">
        <v>0</v>
      </c>
      <c r="AT64" s="62">
        <f t="shared" si="23"/>
        <v>230310</v>
      </c>
      <c r="AU64" s="102">
        <f t="shared" si="24"/>
        <v>40.73</v>
      </c>
      <c r="AV64" s="62">
        <f t="shared" si="24"/>
        <v>7007140</v>
      </c>
      <c r="AW64" s="62">
        <f t="shared" si="25"/>
        <v>0</v>
      </c>
      <c r="AX64" s="62">
        <f t="shared" si="26"/>
        <v>7007140</v>
      </c>
      <c r="AY64" s="380">
        <f t="shared" si="27"/>
        <v>1.305</v>
      </c>
      <c r="AZ64" s="380">
        <f t="shared" si="28"/>
        <v>38.409</v>
      </c>
      <c r="BA64" s="380">
        <f t="shared" si="29"/>
        <v>39.715</v>
      </c>
      <c r="BB64" s="66">
        <v>0.01</v>
      </c>
      <c r="BC64" s="62">
        <v>5052360</v>
      </c>
      <c r="BD64" s="62">
        <v>0</v>
      </c>
      <c r="BE64" s="62">
        <f t="shared" si="30"/>
        <v>5052360</v>
      </c>
      <c r="BF64" s="62">
        <f t="shared" si="31"/>
        <v>505236000</v>
      </c>
      <c r="BG64" s="66">
        <f t="shared" si="32"/>
        <v>0.01</v>
      </c>
      <c r="BH64" s="66">
        <f t="shared" si="33"/>
        <v>0</v>
      </c>
      <c r="BI64" s="62">
        <f t="shared" si="34"/>
        <v>14071075.5</v>
      </c>
    </row>
    <row r="65" spans="2:61" ht="12.75">
      <c r="B65" s="60">
        <v>58</v>
      </c>
      <c r="C65" s="61" t="s">
        <v>60</v>
      </c>
      <c r="D65" s="61">
        <f>'Table 4 Formula'!U65</f>
        <v>13314</v>
      </c>
      <c r="E65" s="62">
        <f t="shared" si="35"/>
        <v>3255210</v>
      </c>
      <c r="F65" s="62">
        <f t="shared" si="9"/>
        <v>244.5</v>
      </c>
      <c r="G65" s="62">
        <f t="shared" si="36"/>
        <v>6373181</v>
      </c>
      <c r="H65" s="62">
        <f t="shared" si="10"/>
        <v>478.68</v>
      </c>
      <c r="I65" s="62">
        <v>597629</v>
      </c>
      <c r="J65" s="62">
        <f t="shared" si="11"/>
        <v>44.89</v>
      </c>
      <c r="K65" s="62">
        <f t="shared" si="12"/>
        <v>10226020</v>
      </c>
      <c r="L65" s="62">
        <f t="shared" si="13"/>
        <v>768.07</v>
      </c>
      <c r="M65" s="76">
        <f t="shared" si="37"/>
        <v>0.44489174</v>
      </c>
      <c r="N65" s="61">
        <f t="shared" si="38"/>
        <v>63</v>
      </c>
      <c r="O65" s="75">
        <f t="shared" si="39"/>
        <v>44.042</v>
      </c>
      <c r="P65" s="62">
        <f t="shared" si="40"/>
        <v>3487396</v>
      </c>
      <c r="Q65" s="62">
        <f t="shared" si="14"/>
        <v>261.93</v>
      </c>
      <c r="R65" s="66">
        <f t="shared" si="41"/>
        <v>0.02</v>
      </c>
      <c r="S65" s="62">
        <f t="shared" si="42"/>
        <v>7081312</v>
      </c>
      <c r="T65" s="62">
        <f t="shared" si="15"/>
        <v>531.8696109358569</v>
      </c>
      <c r="U65" s="62">
        <f t="shared" si="16"/>
        <v>597629</v>
      </c>
      <c r="V65" s="62">
        <f t="shared" si="17"/>
        <v>44.89</v>
      </c>
      <c r="W65" s="62">
        <f t="shared" si="18"/>
        <v>11166337</v>
      </c>
      <c r="X65" s="62">
        <f t="shared" si="19"/>
        <v>838.69</v>
      </c>
      <c r="Y65" s="64">
        <f t="shared" si="20"/>
        <v>1.091945</v>
      </c>
      <c r="Z65" s="61">
        <f t="shared" si="43"/>
        <v>15</v>
      </c>
      <c r="AA65" s="61"/>
      <c r="AB65" s="62">
        <v>110487800</v>
      </c>
      <c r="AC65" s="62">
        <v>31304880</v>
      </c>
      <c r="AD65" s="62">
        <f t="shared" si="21"/>
        <v>79182920</v>
      </c>
      <c r="AE65" s="102">
        <v>3.7</v>
      </c>
      <c r="AF65" s="62">
        <v>303708</v>
      </c>
      <c r="AG65" s="75">
        <v>7.17</v>
      </c>
      <c r="AH65" s="62">
        <v>557743</v>
      </c>
      <c r="AI65" s="102">
        <v>12.59</v>
      </c>
      <c r="AJ65" s="102">
        <v>13.98</v>
      </c>
      <c r="AK65" s="61">
        <v>9</v>
      </c>
      <c r="AL65" s="62">
        <v>1044526</v>
      </c>
      <c r="AM65" s="62">
        <f t="shared" si="22"/>
        <v>1905977</v>
      </c>
      <c r="AN65" s="102">
        <v>0</v>
      </c>
      <c r="AO65" s="62">
        <v>0</v>
      </c>
      <c r="AP65" s="102">
        <v>3.5</v>
      </c>
      <c r="AQ65" s="102">
        <v>70</v>
      </c>
      <c r="AR65" s="61">
        <v>9</v>
      </c>
      <c r="AS65" s="62">
        <v>1581419</v>
      </c>
      <c r="AT65" s="62">
        <f t="shared" si="23"/>
        <v>1581419</v>
      </c>
      <c r="AU65" s="102">
        <f t="shared" si="24"/>
        <v>10.870000000000001</v>
      </c>
      <c r="AV65" s="62">
        <f t="shared" si="24"/>
        <v>861451</v>
      </c>
      <c r="AW65" s="62">
        <f t="shared" si="25"/>
        <v>2625945</v>
      </c>
      <c r="AX65" s="62">
        <f t="shared" si="26"/>
        <v>3487396</v>
      </c>
      <c r="AY65" s="380">
        <f t="shared" si="27"/>
        <v>19.972</v>
      </c>
      <c r="AZ65" s="380">
        <f t="shared" si="28"/>
        <v>24.071</v>
      </c>
      <c r="BA65" s="380">
        <f t="shared" si="29"/>
        <v>44.042</v>
      </c>
      <c r="BB65" s="66">
        <v>0.02</v>
      </c>
      <c r="BC65" s="62">
        <v>7081312</v>
      </c>
      <c r="BD65" s="62">
        <v>0</v>
      </c>
      <c r="BE65" s="62">
        <f t="shared" si="30"/>
        <v>7081312</v>
      </c>
      <c r="BF65" s="62">
        <f t="shared" si="31"/>
        <v>354065600</v>
      </c>
      <c r="BG65" s="66">
        <f t="shared" si="32"/>
        <v>0.02</v>
      </c>
      <c r="BH65" s="66">
        <f t="shared" si="33"/>
        <v>0</v>
      </c>
      <c r="BI65" s="62">
        <f t="shared" si="34"/>
        <v>11166337</v>
      </c>
    </row>
    <row r="66" spans="2:61" ht="12.75">
      <c r="B66" s="60">
        <v>59</v>
      </c>
      <c r="C66" s="61" t="s">
        <v>61</v>
      </c>
      <c r="D66" s="61">
        <f>'Table 4 Formula'!U66</f>
        <v>6853</v>
      </c>
      <c r="E66" s="62">
        <f t="shared" si="35"/>
        <v>1802105</v>
      </c>
      <c r="F66" s="62">
        <f t="shared" si="9"/>
        <v>262.97</v>
      </c>
      <c r="G66" s="62">
        <f t="shared" si="36"/>
        <v>2904970</v>
      </c>
      <c r="H66" s="62">
        <f t="shared" si="10"/>
        <v>423.9</v>
      </c>
      <c r="I66" s="62">
        <v>148705.5</v>
      </c>
      <c r="J66" s="62">
        <f t="shared" si="11"/>
        <v>21.7</v>
      </c>
      <c r="K66" s="62">
        <f t="shared" si="12"/>
        <v>4855780.5</v>
      </c>
      <c r="L66" s="62">
        <f t="shared" si="13"/>
        <v>708.56</v>
      </c>
      <c r="M66" s="76">
        <f t="shared" si="37"/>
        <v>0.41042157</v>
      </c>
      <c r="N66" s="61">
        <f t="shared" si="38"/>
        <v>64</v>
      </c>
      <c r="O66" s="75">
        <f t="shared" si="39"/>
        <v>43.24</v>
      </c>
      <c r="P66" s="62">
        <f t="shared" si="40"/>
        <v>1895486</v>
      </c>
      <c r="Q66" s="62">
        <f t="shared" si="14"/>
        <v>276.59</v>
      </c>
      <c r="R66" s="66">
        <f t="shared" si="41"/>
        <v>0.02</v>
      </c>
      <c r="S66" s="62">
        <f t="shared" si="42"/>
        <v>3227744</v>
      </c>
      <c r="T66" s="62">
        <f t="shared" si="15"/>
        <v>470.9972274916095</v>
      </c>
      <c r="U66" s="62">
        <f t="shared" si="16"/>
        <v>148705.5</v>
      </c>
      <c r="V66" s="62">
        <f t="shared" si="17"/>
        <v>21.7</v>
      </c>
      <c r="W66" s="62">
        <f t="shared" si="18"/>
        <v>5271935.5</v>
      </c>
      <c r="X66" s="62">
        <f t="shared" si="19"/>
        <v>769.29</v>
      </c>
      <c r="Y66" s="64">
        <f t="shared" si="20"/>
        <v>1.085709</v>
      </c>
      <c r="Z66" s="61">
        <f t="shared" si="43"/>
        <v>16</v>
      </c>
      <c r="AA66" s="61"/>
      <c r="AB66" s="62">
        <v>67502610</v>
      </c>
      <c r="AC66" s="62">
        <v>23666450</v>
      </c>
      <c r="AD66" s="62">
        <f t="shared" si="21"/>
        <v>43836160</v>
      </c>
      <c r="AE66" s="102">
        <v>3.91</v>
      </c>
      <c r="AF66" s="62">
        <v>181823</v>
      </c>
      <c r="AG66" s="75">
        <v>15.07</v>
      </c>
      <c r="AH66" s="62">
        <v>700725</v>
      </c>
      <c r="AI66" s="102">
        <v>5.12</v>
      </c>
      <c r="AJ66" s="102">
        <v>5.12</v>
      </c>
      <c r="AK66" s="61">
        <v>1</v>
      </c>
      <c r="AL66" s="62">
        <v>12926</v>
      </c>
      <c r="AM66" s="62">
        <f t="shared" si="22"/>
        <v>895474</v>
      </c>
      <c r="AN66" s="102">
        <v>0</v>
      </c>
      <c r="AO66" s="62">
        <v>0</v>
      </c>
      <c r="AP66" s="102">
        <v>22</v>
      </c>
      <c r="AQ66" s="102">
        <v>49</v>
      </c>
      <c r="AR66" s="61">
        <v>3</v>
      </c>
      <c r="AS66" s="62">
        <v>1000012</v>
      </c>
      <c r="AT66" s="62">
        <f t="shared" si="23"/>
        <v>1000012</v>
      </c>
      <c r="AU66" s="102">
        <f t="shared" si="24"/>
        <v>18.98</v>
      </c>
      <c r="AV66" s="62">
        <f t="shared" si="24"/>
        <v>882548</v>
      </c>
      <c r="AW66" s="62">
        <f t="shared" si="25"/>
        <v>1012938</v>
      </c>
      <c r="AX66" s="62">
        <f t="shared" si="26"/>
        <v>1895486</v>
      </c>
      <c r="AY66" s="380">
        <f t="shared" si="27"/>
        <v>22.812</v>
      </c>
      <c r="AZ66" s="380">
        <f t="shared" si="28"/>
        <v>20.428</v>
      </c>
      <c r="BA66" s="380">
        <f t="shared" si="29"/>
        <v>43.24</v>
      </c>
      <c r="BB66" s="66">
        <v>0.02</v>
      </c>
      <c r="BC66" s="62">
        <v>3227744</v>
      </c>
      <c r="BD66" s="62">
        <v>0</v>
      </c>
      <c r="BE66" s="62">
        <f t="shared" si="30"/>
        <v>3227744</v>
      </c>
      <c r="BF66" s="62">
        <f t="shared" si="31"/>
        <v>161387200</v>
      </c>
      <c r="BG66" s="66">
        <f t="shared" si="32"/>
        <v>0.02</v>
      </c>
      <c r="BH66" s="66">
        <f t="shared" si="33"/>
        <v>0</v>
      </c>
      <c r="BI66" s="62">
        <f t="shared" si="34"/>
        <v>5271935.5</v>
      </c>
    </row>
    <row r="67" spans="2:61" ht="12.75">
      <c r="B67" s="83">
        <v>60</v>
      </c>
      <c r="C67" s="84" t="s">
        <v>62</v>
      </c>
      <c r="D67" s="84">
        <f>'Table 4 Formula'!U67</f>
        <v>9871</v>
      </c>
      <c r="E67" s="85">
        <f t="shared" si="35"/>
        <v>4755001</v>
      </c>
      <c r="F67" s="85">
        <f t="shared" si="9"/>
        <v>481.71</v>
      </c>
      <c r="G67" s="85">
        <f t="shared" si="36"/>
        <v>7814998</v>
      </c>
      <c r="H67" s="85">
        <f t="shared" si="10"/>
        <v>791.71</v>
      </c>
      <c r="I67" s="85">
        <v>621539</v>
      </c>
      <c r="J67" s="85">
        <f t="shared" si="11"/>
        <v>62.97</v>
      </c>
      <c r="K67" s="85">
        <f t="shared" si="12"/>
        <v>13191538</v>
      </c>
      <c r="L67" s="85">
        <f t="shared" si="13"/>
        <v>1336.39</v>
      </c>
      <c r="M67" s="94">
        <f t="shared" si="37"/>
        <v>0.77408163</v>
      </c>
      <c r="N67" s="84">
        <f t="shared" si="38"/>
        <v>31</v>
      </c>
      <c r="O67" s="93">
        <f t="shared" si="39"/>
        <v>40.852</v>
      </c>
      <c r="P67" s="85">
        <f t="shared" si="40"/>
        <v>4725108</v>
      </c>
      <c r="Q67" s="85">
        <f t="shared" si="14"/>
        <v>478.69</v>
      </c>
      <c r="R67" s="90">
        <f t="shared" si="41"/>
        <v>0.02</v>
      </c>
      <c r="S67" s="85">
        <f t="shared" si="42"/>
        <v>8683331</v>
      </c>
      <c r="T67" s="85">
        <f t="shared" si="15"/>
        <v>879.6809847026643</v>
      </c>
      <c r="U67" s="85">
        <f t="shared" si="16"/>
        <v>621539</v>
      </c>
      <c r="V67" s="85">
        <f t="shared" si="17"/>
        <v>62.97</v>
      </c>
      <c r="W67" s="85">
        <f t="shared" si="18"/>
        <v>14029978</v>
      </c>
      <c r="X67" s="85">
        <f t="shared" si="19"/>
        <v>1421.33</v>
      </c>
      <c r="Y67" s="88">
        <f t="shared" si="20"/>
        <v>1.063559</v>
      </c>
      <c r="Z67" s="84">
        <f t="shared" si="43"/>
        <v>20</v>
      </c>
      <c r="AA67" s="84"/>
      <c r="AB67" s="85">
        <v>155919110</v>
      </c>
      <c r="AC67" s="85">
        <v>40253790</v>
      </c>
      <c r="AD67" s="85">
        <f t="shared" si="21"/>
        <v>115665320</v>
      </c>
      <c r="AE67" s="103">
        <v>5.63</v>
      </c>
      <c r="AF67" s="85">
        <v>634584</v>
      </c>
      <c r="AG67" s="93">
        <v>13.66</v>
      </c>
      <c r="AH67" s="85">
        <v>2010020</v>
      </c>
      <c r="AI67" s="103">
        <v>0</v>
      </c>
      <c r="AJ67" s="103">
        <v>0</v>
      </c>
      <c r="AK67" s="84">
        <v>0</v>
      </c>
      <c r="AL67" s="85">
        <v>0</v>
      </c>
      <c r="AM67" s="85">
        <f t="shared" si="22"/>
        <v>2644604</v>
      </c>
      <c r="AN67" s="103">
        <v>0</v>
      </c>
      <c r="AO67" s="85">
        <v>0</v>
      </c>
      <c r="AP67" s="103">
        <v>10</v>
      </c>
      <c r="AQ67" s="103">
        <v>93.3</v>
      </c>
      <c r="AR67" s="84">
        <v>7</v>
      </c>
      <c r="AS67" s="85">
        <v>2080504</v>
      </c>
      <c r="AT67" s="85">
        <f t="shared" si="23"/>
        <v>2080504</v>
      </c>
      <c r="AU67" s="103">
        <f t="shared" si="24"/>
        <v>19.29</v>
      </c>
      <c r="AV67" s="85">
        <f t="shared" si="24"/>
        <v>2644604</v>
      </c>
      <c r="AW67" s="85">
        <f t="shared" si="25"/>
        <v>2080504</v>
      </c>
      <c r="AX67" s="85">
        <f t="shared" si="26"/>
        <v>4725108</v>
      </c>
      <c r="AY67" s="381">
        <f t="shared" si="27"/>
        <v>17.987</v>
      </c>
      <c r="AZ67" s="381">
        <f t="shared" si="28"/>
        <v>22.864</v>
      </c>
      <c r="BA67" s="381">
        <f t="shared" si="29"/>
        <v>40.852</v>
      </c>
      <c r="BB67" s="90">
        <v>0.02</v>
      </c>
      <c r="BC67" s="85">
        <v>8683331</v>
      </c>
      <c r="BD67" s="85">
        <v>0</v>
      </c>
      <c r="BE67" s="85">
        <f t="shared" si="30"/>
        <v>8683331</v>
      </c>
      <c r="BF67" s="85">
        <f t="shared" si="31"/>
        <v>434166550</v>
      </c>
      <c r="BG67" s="90">
        <f t="shared" si="32"/>
        <v>0.02</v>
      </c>
      <c r="BH67" s="90">
        <f t="shared" si="33"/>
        <v>0</v>
      </c>
      <c r="BI67" s="85">
        <f t="shared" si="34"/>
        <v>14029978</v>
      </c>
    </row>
    <row r="68" spans="2:61" ht="12.75">
      <c r="B68" s="60">
        <v>61</v>
      </c>
      <c r="C68" s="61" t="s">
        <v>63</v>
      </c>
      <c r="D68" s="61">
        <f>'Table 4 Formula'!U68</f>
        <v>5347</v>
      </c>
      <c r="E68" s="62">
        <f t="shared" si="35"/>
        <v>6110600</v>
      </c>
      <c r="F68" s="62">
        <f t="shared" si="9"/>
        <v>1142.81</v>
      </c>
      <c r="G68" s="62">
        <f t="shared" si="36"/>
        <v>6578231</v>
      </c>
      <c r="H68" s="62">
        <f t="shared" si="10"/>
        <v>1230.27</v>
      </c>
      <c r="I68" s="62">
        <v>131767</v>
      </c>
      <c r="J68" s="62">
        <f t="shared" si="11"/>
        <v>24.64</v>
      </c>
      <c r="K68" s="62">
        <f t="shared" si="12"/>
        <v>12820598</v>
      </c>
      <c r="L68" s="62">
        <f t="shared" si="13"/>
        <v>2397.72</v>
      </c>
      <c r="M68" s="76">
        <f t="shared" si="37"/>
        <v>1.38883933</v>
      </c>
      <c r="N68" s="61">
        <f t="shared" si="38"/>
        <v>8</v>
      </c>
      <c r="O68" s="75">
        <f t="shared" si="39"/>
        <v>34.358</v>
      </c>
      <c r="P68" s="62">
        <f t="shared" si="40"/>
        <v>5107047</v>
      </c>
      <c r="Q68" s="62">
        <f t="shared" si="14"/>
        <v>955.12</v>
      </c>
      <c r="R68" s="66">
        <f t="shared" si="41"/>
        <v>0.02</v>
      </c>
      <c r="S68" s="62">
        <f t="shared" si="42"/>
        <v>7309146</v>
      </c>
      <c r="T68" s="62">
        <f t="shared" si="15"/>
        <v>1366.9620347858613</v>
      </c>
      <c r="U68" s="62">
        <f t="shared" si="16"/>
        <v>131767</v>
      </c>
      <c r="V68" s="62">
        <f t="shared" si="17"/>
        <v>24.64</v>
      </c>
      <c r="W68" s="62">
        <f t="shared" si="18"/>
        <v>12547960</v>
      </c>
      <c r="X68" s="62">
        <f t="shared" si="19"/>
        <v>2346.73</v>
      </c>
      <c r="Y68" s="64">
        <f t="shared" si="20"/>
        <v>0.978734</v>
      </c>
      <c r="Z68" s="61">
        <f t="shared" si="43"/>
        <v>35</v>
      </c>
      <c r="AA68" s="61"/>
      <c r="AB68" s="62">
        <v>175518830</v>
      </c>
      <c r="AC68" s="62">
        <v>26878600</v>
      </c>
      <c r="AD68" s="62">
        <f t="shared" si="21"/>
        <v>148640230</v>
      </c>
      <c r="AE68" s="102">
        <v>4.39</v>
      </c>
      <c r="AF68" s="62">
        <v>651933</v>
      </c>
      <c r="AG68" s="75">
        <v>15</v>
      </c>
      <c r="AH68" s="62">
        <v>2227557</v>
      </c>
      <c r="AI68" s="102">
        <v>0</v>
      </c>
      <c r="AJ68" s="102">
        <v>0</v>
      </c>
      <c r="AK68" s="61">
        <v>0</v>
      </c>
      <c r="AL68" s="62">
        <v>0</v>
      </c>
      <c r="AM68" s="62">
        <f t="shared" si="22"/>
        <v>2879490</v>
      </c>
      <c r="AN68" s="102">
        <v>15</v>
      </c>
      <c r="AO68" s="62">
        <v>2227557</v>
      </c>
      <c r="AP68" s="102">
        <v>0</v>
      </c>
      <c r="AQ68" s="102">
        <v>0</v>
      </c>
      <c r="AR68" s="61">
        <v>0</v>
      </c>
      <c r="AS68" s="62">
        <v>0</v>
      </c>
      <c r="AT68" s="62">
        <f t="shared" si="23"/>
        <v>2227557</v>
      </c>
      <c r="AU68" s="102">
        <f t="shared" si="24"/>
        <v>34.39</v>
      </c>
      <c r="AV68" s="62">
        <f t="shared" si="24"/>
        <v>5107047</v>
      </c>
      <c r="AW68" s="62">
        <f t="shared" si="25"/>
        <v>0</v>
      </c>
      <c r="AX68" s="62">
        <f t="shared" si="26"/>
        <v>5107047</v>
      </c>
      <c r="AY68" s="380">
        <f t="shared" si="27"/>
        <v>14.986</v>
      </c>
      <c r="AZ68" s="380">
        <f t="shared" si="28"/>
        <v>19.372</v>
      </c>
      <c r="BA68" s="380">
        <f t="shared" si="29"/>
        <v>34.358</v>
      </c>
      <c r="BB68" s="66">
        <v>0.02</v>
      </c>
      <c r="BC68" s="62">
        <v>7309146</v>
      </c>
      <c r="BD68" s="62">
        <v>0</v>
      </c>
      <c r="BE68" s="62">
        <f t="shared" si="30"/>
        <v>7309146</v>
      </c>
      <c r="BF68" s="62">
        <f t="shared" si="31"/>
        <v>365457300</v>
      </c>
      <c r="BG68" s="66">
        <f t="shared" si="32"/>
        <v>0.02</v>
      </c>
      <c r="BH68" s="66">
        <f t="shared" si="33"/>
        <v>0</v>
      </c>
      <c r="BI68" s="62">
        <f t="shared" si="34"/>
        <v>12547960</v>
      </c>
    </row>
    <row r="69" spans="2:61" ht="12.75">
      <c r="B69" s="60">
        <v>62</v>
      </c>
      <c r="C69" s="61" t="s">
        <v>64</v>
      </c>
      <c r="D69" s="61">
        <f>'Table 4 Formula'!U69</f>
        <v>3586</v>
      </c>
      <c r="E69" s="62">
        <f t="shared" si="35"/>
        <v>1353423</v>
      </c>
      <c r="F69" s="62">
        <f t="shared" si="9"/>
        <v>377.42</v>
      </c>
      <c r="G69" s="62">
        <f t="shared" si="36"/>
        <v>1592149</v>
      </c>
      <c r="H69" s="62">
        <f t="shared" si="10"/>
        <v>443.99</v>
      </c>
      <c r="I69" s="62">
        <v>117813</v>
      </c>
      <c r="J69" s="62">
        <f t="shared" si="11"/>
        <v>32.85</v>
      </c>
      <c r="K69" s="62">
        <f t="shared" si="12"/>
        <v>3063385</v>
      </c>
      <c r="L69" s="62">
        <f t="shared" si="13"/>
        <v>854.26</v>
      </c>
      <c r="M69" s="76">
        <f t="shared" si="37"/>
        <v>0.49481586</v>
      </c>
      <c r="N69" s="61">
        <f t="shared" si="38"/>
        <v>60</v>
      </c>
      <c r="O69" s="75">
        <f t="shared" si="39"/>
        <v>25.747</v>
      </c>
      <c r="P69" s="62">
        <f t="shared" si="40"/>
        <v>847658</v>
      </c>
      <c r="Q69" s="62">
        <f t="shared" si="14"/>
        <v>236.38</v>
      </c>
      <c r="R69" s="66">
        <f t="shared" si="41"/>
        <v>0.01</v>
      </c>
      <c r="S69" s="62">
        <f t="shared" si="42"/>
        <v>884527</v>
      </c>
      <c r="T69" s="62">
        <f t="shared" si="15"/>
        <v>246.6611823759063</v>
      </c>
      <c r="U69" s="62">
        <f t="shared" si="16"/>
        <v>117813</v>
      </c>
      <c r="V69" s="62">
        <f t="shared" si="17"/>
        <v>32.85</v>
      </c>
      <c r="W69" s="62">
        <f t="shared" si="18"/>
        <v>1849998</v>
      </c>
      <c r="X69" s="62">
        <f t="shared" si="19"/>
        <v>515.89</v>
      </c>
      <c r="Y69" s="64">
        <f t="shared" si="20"/>
        <v>0.603903</v>
      </c>
      <c r="Z69" s="61">
        <f t="shared" si="43"/>
        <v>63</v>
      </c>
      <c r="AA69" s="61"/>
      <c r="AB69" s="62">
        <v>45729047</v>
      </c>
      <c r="AC69" s="62">
        <v>12807065</v>
      </c>
      <c r="AD69" s="62">
        <f t="shared" si="21"/>
        <v>32921982</v>
      </c>
      <c r="AE69" s="102">
        <v>6.25</v>
      </c>
      <c r="AF69" s="62">
        <v>206224</v>
      </c>
      <c r="AG69" s="75">
        <v>17.34</v>
      </c>
      <c r="AH69" s="62">
        <v>572272</v>
      </c>
      <c r="AI69" s="102">
        <v>5</v>
      </c>
      <c r="AJ69" s="102">
        <v>5</v>
      </c>
      <c r="AK69" s="61">
        <v>1</v>
      </c>
      <c r="AL69" s="62">
        <v>69162</v>
      </c>
      <c r="AM69" s="62">
        <f t="shared" si="22"/>
        <v>847658</v>
      </c>
      <c r="AN69" s="102">
        <v>0</v>
      </c>
      <c r="AO69" s="62">
        <v>0</v>
      </c>
      <c r="AP69" s="102">
        <v>0</v>
      </c>
      <c r="AQ69" s="102">
        <v>0</v>
      </c>
      <c r="AR69" s="61">
        <v>0</v>
      </c>
      <c r="AS69" s="62">
        <v>0</v>
      </c>
      <c r="AT69" s="62">
        <f t="shared" si="23"/>
        <v>0</v>
      </c>
      <c r="AU69" s="102">
        <f t="shared" si="24"/>
        <v>23.59</v>
      </c>
      <c r="AV69" s="62">
        <f t="shared" si="24"/>
        <v>778496</v>
      </c>
      <c r="AW69" s="62">
        <f t="shared" si="25"/>
        <v>69162</v>
      </c>
      <c r="AX69" s="62">
        <f t="shared" si="26"/>
        <v>847658</v>
      </c>
      <c r="AY69" s="380">
        <f t="shared" si="27"/>
        <v>0</v>
      </c>
      <c r="AZ69" s="380">
        <f t="shared" si="28"/>
        <v>25.747</v>
      </c>
      <c r="BA69" s="380">
        <f t="shared" si="29"/>
        <v>25.747</v>
      </c>
      <c r="BB69" s="66">
        <v>0.01</v>
      </c>
      <c r="BC69" s="62">
        <v>884527</v>
      </c>
      <c r="BD69" s="62">
        <v>0</v>
      </c>
      <c r="BE69" s="62">
        <f t="shared" si="30"/>
        <v>884527</v>
      </c>
      <c r="BF69" s="62">
        <f t="shared" si="31"/>
        <v>88452700</v>
      </c>
      <c r="BG69" s="66">
        <f t="shared" si="32"/>
        <v>0.01</v>
      </c>
      <c r="BH69" s="66">
        <f t="shared" si="33"/>
        <v>0</v>
      </c>
      <c r="BI69" s="62">
        <f t="shared" si="34"/>
        <v>1849998</v>
      </c>
    </row>
    <row r="70" spans="2:61" ht="12.75">
      <c r="B70" s="60">
        <v>63</v>
      </c>
      <c r="C70" s="61" t="s">
        <v>65</v>
      </c>
      <c r="D70" s="61">
        <f>'Table 4 Formula'!U70</f>
        <v>3246</v>
      </c>
      <c r="E70" s="62">
        <f t="shared" si="35"/>
        <v>12305235</v>
      </c>
      <c r="F70" s="62">
        <f t="shared" si="9"/>
        <v>3790.89</v>
      </c>
      <c r="G70" s="62">
        <f t="shared" si="36"/>
        <v>2441033</v>
      </c>
      <c r="H70" s="62">
        <f t="shared" si="10"/>
        <v>752.01</v>
      </c>
      <c r="I70" s="62">
        <v>59010.5</v>
      </c>
      <c r="J70" s="62">
        <f t="shared" si="11"/>
        <v>18.18</v>
      </c>
      <c r="K70" s="62">
        <f t="shared" si="12"/>
        <v>14805278.5</v>
      </c>
      <c r="L70" s="62">
        <f t="shared" si="13"/>
        <v>4561.08</v>
      </c>
      <c r="M70" s="76">
        <f t="shared" si="37"/>
        <v>2.64192954</v>
      </c>
      <c r="N70" s="61">
        <f t="shared" si="38"/>
        <v>1</v>
      </c>
      <c r="O70" s="75">
        <f t="shared" si="39"/>
        <v>23.723</v>
      </c>
      <c r="P70" s="62">
        <f t="shared" si="40"/>
        <v>7100874</v>
      </c>
      <c r="Q70" s="62">
        <f t="shared" si="14"/>
        <v>2187.58</v>
      </c>
      <c r="R70" s="66">
        <f t="shared" si="41"/>
        <v>0.02</v>
      </c>
      <c r="S70" s="62">
        <f t="shared" si="42"/>
        <v>2712259</v>
      </c>
      <c r="T70" s="62">
        <f t="shared" si="15"/>
        <v>835.5696241528035</v>
      </c>
      <c r="U70" s="62">
        <f t="shared" si="16"/>
        <v>59010.5</v>
      </c>
      <c r="V70" s="62">
        <f t="shared" si="17"/>
        <v>18.18</v>
      </c>
      <c r="W70" s="62">
        <f t="shared" si="18"/>
        <v>9872143.5</v>
      </c>
      <c r="X70" s="62">
        <f t="shared" si="19"/>
        <v>3041.33</v>
      </c>
      <c r="Y70" s="64">
        <f t="shared" si="20"/>
        <v>0.6668</v>
      </c>
      <c r="Z70" s="61">
        <f t="shared" si="43"/>
        <v>58</v>
      </c>
      <c r="AA70" s="61"/>
      <c r="AB70" s="62">
        <v>309981487</v>
      </c>
      <c r="AC70" s="62">
        <v>10656861</v>
      </c>
      <c r="AD70" s="62">
        <f t="shared" si="21"/>
        <v>299324626</v>
      </c>
      <c r="AE70" s="102">
        <v>4.46</v>
      </c>
      <c r="AF70" s="62">
        <v>1298453</v>
      </c>
      <c r="AG70" s="75">
        <v>14.75</v>
      </c>
      <c r="AH70" s="62">
        <v>4651276</v>
      </c>
      <c r="AI70" s="102">
        <v>0</v>
      </c>
      <c r="AJ70" s="102">
        <v>0</v>
      </c>
      <c r="AK70" s="61">
        <v>0</v>
      </c>
      <c r="AL70" s="62">
        <v>0</v>
      </c>
      <c r="AM70" s="62">
        <f t="shared" si="22"/>
        <v>5949729</v>
      </c>
      <c r="AN70" s="102">
        <v>4</v>
      </c>
      <c r="AO70" s="62">
        <v>1151145</v>
      </c>
      <c r="AP70" s="102">
        <v>0</v>
      </c>
      <c r="AQ70" s="102">
        <v>0</v>
      </c>
      <c r="AR70" s="61">
        <v>0</v>
      </c>
      <c r="AS70" s="62">
        <v>0</v>
      </c>
      <c r="AT70" s="62">
        <f t="shared" si="23"/>
        <v>1151145</v>
      </c>
      <c r="AU70" s="102">
        <f t="shared" si="24"/>
        <v>23.21</v>
      </c>
      <c r="AV70" s="62">
        <f t="shared" si="24"/>
        <v>7100874</v>
      </c>
      <c r="AW70" s="62">
        <f t="shared" si="25"/>
        <v>0</v>
      </c>
      <c r="AX70" s="62">
        <f t="shared" si="26"/>
        <v>7100874</v>
      </c>
      <c r="AY70" s="380">
        <f t="shared" si="27"/>
        <v>3.846</v>
      </c>
      <c r="AZ70" s="380">
        <f t="shared" si="28"/>
        <v>19.877</v>
      </c>
      <c r="BA70" s="380">
        <f t="shared" si="29"/>
        <v>23.723</v>
      </c>
      <c r="BB70" s="66">
        <v>0.02</v>
      </c>
      <c r="BC70" s="62">
        <v>2712259</v>
      </c>
      <c r="BD70" s="62">
        <v>0</v>
      </c>
      <c r="BE70" s="62">
        <f t="shared" si="30"/>
        <v>2712259</v>
      </c>
      <c r="BF70" s="62">
        <f t="shared" si="31"/>
        <v>135612950</v>
      </c>
      <c r="BG70" s="66">
        <f t="shared" si="32"/>
        <v>0.02</v>
      </c>
      <c r="BH70" s="66">
        <f t="shared" si="33"/>
        <v>0</v>
      </c>
      <c r="BI70" s="62">
        <f t="shared" si="34"/>
        <v>9872143.5</v>
      </c>
    </row>
    <row r="71" spans="2:61" ht="12.75">
      <c r="B71" s="60">
        <v>64</v>
      </c>
      <c r="C71" s="61" t="s">
        <v>66</v>
      </c>
      <c r="D71" s="61">
        <f>'Table 4 Formula'!U71</f>
        <v>4125</v>
      </c>
      <c r="E71" s="62">
        <f t="shared" si="35"/>
        <v>1756430</v>
      </c>
      <c r="F71" s="62">
        <f t="shared" si="9"/>
        <v>425.8</v>
      </c>
      <c r="G71" s="62">
        <f t="shared" si="36"/>
        <v>2949319</v>
      </c>
      <c r="H71" s="62">
        <f t="shared" si="10"/>
        <v>714.99</v>
      </c>
      <c r="I71" s="62">
        <v>380891.5</v>
      </c>
      <c r="J71" s="62">
        <f t="shared" si="11"/>
        <v>92.34</v>
      </c>
      <c r="K71" s="62">
        <f t="shared" si="12"/>
        <v>5086640.5</v>
      </c>
      <c r="L71" s="62">
        <f t="shared" si="13"/>
        <v>1233.12</v>
      </c>
      <c r="M71" s="76">
        <f t="shared" si="37"/>
        <v>0.7142642</v>
      </c>
      <c r="N71" s="61">
        <f t="shared" si="38"/>
        <v>35</v>
      </c>
      <c r="O71" s="75">
        <f t="shared" si="39"/>
        <v>54.239</v>
      </c>
      <c r="P71" s="62">
        <f t="shared" si="40"/>
        <v>2317372</v>
      </c>
      <c r="Q71" s="62">
        <f t="shared" si="14"/>
        <v>561.79</v>
      </c>
      <c r="R71" s="66">
        <f t="shared" si="41"/>
        <v>0.02</v>
      </c>
      <c r="S71" s="62">
        <f t="shared" si="42"/>
        <v>3277021</v>
      </c>
      <c r="T71" s="62">
        <f t="shared" si="15"/>
        <v>794.4293333333334</v>
      </c>
      <c r="U71" s="62">
        <f t="shared" si="16"/>
        <v>380891.5</v>
      </c>
      <c r="V71" s="62">
        <f t="shared" si="17"/>
        <v>92.34</v>
      </c>
      <c r="W71" s="62">
        <f t="shared" si="18"/>
        <v>5975284.5</v>
      </c>
      <c r="X71" s="62">
        <f t="shared" si="19"/>
        <v>1448.55</v>
      </c>
      <c r="Y71" s="64">
        <f t="shared" si="20"/>
        <v>1.174703</v>
      </c>
      <c r="Z71" s="61">
        <f t="shared" si="43"/>
        <v>10</v>
      </c>
      <c r="AA71" s="61"/>
      <c r="AB71" s="62">
        <v>56171219</v>
      </c>
      <c r="AC71" s="62">
        <v>13446100</v>
      </c>
      <c r="AD71" s="62">
        <f t="shared" si="21"/>
        <v>42725119</v>
      </c>
      <c r="AE71" s="102">
        <v>4.76</v>
      </c>
      <c r="AF71" s="62">
        <v>210238</v>
      </c>
      <c r="AG71" s="75">
        <v>19.62</v>
      </c>
      <c r="AH71" s="62">
        <v>813244</v>
      </c>
      <c r="AI71" s="102">
        <v>0</v>
      </c>
      <c r="AJ71" s="102">
        <v>0</v>
      </c>
      <c r="AK71" s="61">
        <v>0</v>
      </c>
      <c r="AL71" s="62">
        <v>0</v>
      </c>
      <c r="AM71" s="62">
        <f t="shared" si="22"/>
        <v>1023482</v>
      </c>
      <c r="AN71" s="102">
        <v>0</v>
      </c>
      <c r="AO71" s="62">
        <v>0</v>
      </c>
      <c r="AP71" s="102">
        <v>10</v>
      </c>
      <c r="AQ71" s="102">
        <v>51</v>
      </c>
      <c r="AR71" s="61">
        <v>5</v>
      </c>
      <c r="AS71" s="62">
        <v>1293890</v>
      </c>
      <c r="AT71" s="62">
        <f t="shared" si="23"/>
        <v>1293890</v>
      </c>
      <c r="AU71" s="102">
        <f t="shared" si="24"/>
        <v>24.380000000000003</v>
      </c>
      <c r="AV71" s="62">
        <f t="shared" si="24"/>
        <v>1023482</v>
      </c>
      <c r="AW71" s="62">
        <f t="shared" si="25"/>
        <v>1293890</v>
      </c>
      <c r="AX71" s="62">
        <f t="shared" si="26"/>
        <v>2317372</v>
      </c>
      <c r="AY71" s="380">
        <f t="shared" si="27"/>
        <v>30.284</v>
      </c>
      <c r="AZ71" s="380">
        <f t="shared" si="28"/>
        <v>23.955</v>
      </c>
      <c r="BA71" s="380">
        <f t="shared" si="29"/>
        <v>54.239</v>
      </c>
      <c r="BB71" s="66">
        <v>0.02</v>
      </c>
      <c r="BC71" s="62">
        <v>3277021</v>
      </c>
      <c r="BD71" s="62">
        <v>0</v>
      </c>
      <c r="BE71" s="62">
        <f t="shared" si="30"/>
        <v>3277021</v>
      </c>
      <c r="BF71" s="62">
        <f t="shared" si="31"/>
        <v>163851050</v>
      </c>
      <c r="BG71" s="66">
        <f t="shared" si="32"/>
        <v>0.02</v>
      </c>
      <c r="BH71" s="66">
        <f t="shared" si="33"/>
        <v>0</v>
      </c>
      <c r="BI71" s="62">
        <f t="shared" si="34"/>
        <v>5975284.5</v>
      </c>
    </row>
    <row r="72" spans="2:61" ht="12.75">
      <c r="B72" s="60">
        <v>65</v>
      </c>
      <c r="C72" s="61" t="s">
        <v>67</v>
      </c>
      <c r="D72" s="61">
        <f>'Table 4 Formula'!U72</f>
        <v>14000</v>
      </c>
      <c r="E72" s="62">
        <f t="shared" si="35"/>
        <v>10286269</v>
      </c>
      <c r="F72" s="62">
        <f t="shared" si="9"/>
        <v>734.73</v>
      </c>
      <c r="G72" s="62">
        <f t="shared" si="36"/>
        <v>18143957</v>
      </c>
      <c r="H72" s="62">
        <f t="shared" si="10"/>
        <v>1296</v>
      </c>
      <c r="I72" s="62">
        <v>350266</v>
      </c>
      <c r="J72" s="62">
        <f t="shared" si="11"/>
        <v>25.02</v>
      </c>
      <c r="K72" s="62">
        <f t="shared" si="12"/>
        <v>28780492</v>
      </c>
      <c r="L72" s="62">
        <f t="shared" si="13"/>
        <v>2055.75</v>
      </c>
      <c r="M72" s="76">
        <f>ROUND(L72/L$75,8)</f>
        <v>1.19075891</v>
      </c>
      <c r="N72" s="61">
        <f>RANK(M72,M$8:M$73,0)</f>
        <v>13</v>
      </c>
      <c r="O72" s="75">
        <f t="shared" si="39"/>
        <v>49.108</v>
      </c>
      <c r="P72" s="62">
        <f t="shared" si="40"/>
        <v>12287550</v>
      </c>
      <c r="Q72" s="62">
        <f t="shared" si="14"/>
        <v>877.68</v>
      </c>
      <c r="R72" s="66">
        <f t="shared" si="41"/>
        <v>0.01</v>
      </c>
      <c r="S72" s="62">
        <f t="shared" si="42"/>
        <v>10079976</v>
      </c>
      <c r="T72" s="62">
        <f t="shared" si="15"/>
        <v>719.9982857142858</v>
      </c>
      <c r="U72" s="62">
        <f t="shared" si="16"/>
        <v>350266</v>
      </c>
      <c r="V72" s="62">
        <f t="shared" si="17"/>
        <v>25.02</v>
      </c>
      <c r="W72" s="62">
        <f t="shared" si="18"/>
        <v>22717792</v>
      </c>
      <c r="X72" s="62">
        <f t="shared" si="19"/>
        <v>1622.7</v>
      </c>
      <c r="Y72" s="64">
        <f t="shared" si="20"/>
        <v>0.789347</v>
      </c>
      <c r="Z72" s="61">
        <f>RANK(Y72,Y$8:Y$73,0)</f>
        <v>48</v>
      </c>
      <c r="AA72" s="61"/>
      <c r="AB72" s="62">
        <v>293331133</v>
      </c>
      <c r="AC72" s="62">
        <v>43117823</v>
      </c>
      <c r="AD72" s="62">
        <f t="shared" si="21"/>
        <v>250213310</v>
      </c>
      <c r="AE72" s="102">
        <v>6.44</v>
      </c>
      <c r="AF72" s="62">
        <v>1692875</v>
      </c>
      <c r="AG72" s="75">
        <v>20.55</v>
      </c>
      <c r="AH72" s="62">
        <v>5402157</v>
      </c>
      <c r="AI72" s="102">
        <v>0</v>
      </c>
      <c r="AJ72" s="102">
        <v>0</v>
      </c>
      <c r="AK72" s="61">
        <v>0</v>
      </c>
      <c r="AL72" s="62">
        <v>0</v>
      </c>
      <c r="AM72" s="62">
        <f t="shared" si="22"/>
        <v>7095032</v>
      </c>
      <c r="AN72" s="102">
        <v>22.25</v>
      </c>
      <c r="AO72" s="62">
        <v>5192518</v>
      </c>
      <c r="AP72" s="102">
        <v>0</v>
      </c>
      <c r="AQ72" s="102">
        <v>0</v>
      </c>
      <c r="AR72" s="61">
        <v>0</v>
      </c>
      <c r="AS72" s="62">
        <v>0</v>
      </c>
      <c r="AT72" s="62">
        <f t="shared" si="23"/>
        <v>5192518</v>
      </c>
      <c r="AU72" s="102">
        <f t="shared" si="24"/>
        <v>49.24</v>
      </c>
      <c r="AV72" s="62">
        <f t="shared" si="24"/>
        <v>12287550</v>
      </c>
      <c r="AW72" s="62">
        <f t="shared" si="25"/>
        <v>0</v>
      </c>
      <c r="AX72" s="62">
        <f t="shared" si="26"/>
        <v>12287550</v>
      </c>
      <c r="AY72" s="380">
        <f t="shared" si="27"/>
        <v>20.752</v>
      </c>
      <c r="AZ72" s="380">
        <f t="shared" si="28"/>
        <v>28.356</v>
      </c>
      <c r="BA72" s="380">
        <f t="shared" si="29"/>
        <v>49.108</v>
      </c>
      <c r="BB72" s="66">
        <v>0.01</v>
      </c>
      <c r="BC72" s="62">
        <v>10079976</v>
      </c>
      <c r="BD72" s="62">
        <v>0</v>
      </c>
      <c r="BE72" s="62">
        <f t="shared" si="30"/>
        <v>10079976</v>
      </c>
      <c r="BF72" s="62">
        <f t="shared" si="31"/>
        <v>1007997600</v>
      </c>
      <c r="BG72" s="66">
        <f t="shared" si="32"/>
        <v>0.01</v>
      </c>
      <c r="BH72" s="66">
        <f t="shared" si="33"/>
        <v>0</v>
      </c>
      <c r="BI72" s="62">
        <f t="shared" si="34"/>
        <v>22717792</v>
      </c>
    </row>
    <row r="73" spans="2:61" ht="12.75">
      <c r="B73" s="60">
        <v>66</v>
      </c>
      <c r="C73" s="61" t="s">
        <v>68</v>
      </c>
      <c r="D73" s="61">
        <f>'Table 4 Formula'!U73</f>
        <v>4881</v>
      </c>
      <c r="E73" s="62">
        <f t="shared" si="35"/>
        <v>1616853</v>
      </c>
      <c r="F73" s="62">
        <f>ROUND(E73/D73,2)</f>
        <v>331.25</v>
      </c>
      <c r="G73" s="62">
        <f t="shared" si="36"/>
        <v>3535011</v>
      </c>
      <c r="H73" s="62">
        <f>ROUND(G73/D73,2)</f>
        <v>724.24</v>
      </c>
      <c r="I73" s="62">
        <v>241286</v>
      </c>
      <c r="J73" s="62">
        <f>ROUND(I73/D73,2)</f>
        <v>49.43</v>
      </c>
      <c r="K73" s="62">
        <f>I73+G73+E73</f>
        <v>5393150</v>
      </c>
      <c r="L73" s="62">
        <f>ROUND(K73/D73,2)</f>
        <v>1104.93</v>
      </c>
      <c r="M73" s="76">
        <f>ROUND(L73/L$75,8)</f>
        <v>0.64001228</v>
      </c>
      <c r="N73" s="61">
        <f>RANK(M73,M$8:M$73,0)</f>
        <v>44</v>
      </c>
      <c r="O73" s="75">
        <f t="shared" si="39"/>
        <v>47.864</v>
      </c>
      <c r="P73" s="62">
        <f t="shared" si="40"/>
        <v>1882490</v>
      </c>
      <c r="Q73" s="62">
        <f>ROUND(P73/D73,2)</f>
        <v>385.68</v>
      </c>
      <c r="R73" s="66">
        <f t="shared" si="41"/>
        <v>0.01</v>
      </c>
      <c r="S73" s="62">
        <f t="shared" si="42"/>
        <v>1963895</v>
      </c>
      <c r="T73" s="62">
        <f>S73/D73</f>
        <v>402.35505019463227</v>
      </c>
      <c r="U73" s="62">
        <f>I73</f>
        <v>241286</v>
      </c>
      <c r="V73" s="62">
        <f>ROUND(U73/D73,2)</f>
        <v>49.43</v>
      </c>
      <c r="W73" s="62">
        <f>P73+S73+U73</f>
        <v>4087671</v>
      </c>
      <c r="X73" s="62">
        <f>ROUND(W73/D73,2)</f>
        <v>837.47</v>
      </c>
      <c r="Y73" s="64">
        <f>ROUND(X73/L73,6)</f>
        <v>0.757939</v>
      </c>
      <c r="Z73" s="61">
        <f>RANK(Y73,Y$8:Y$73,0)</f>
        <v>55</v>
      </c>
      <c r="AA73" s="61"/>
      <c r="AB73" s="62">
        <v>54706140</v>
      </c>
      <c r="AC73" s="62">
        <v>15376220</v>
      </c>
      <c r="AD73" s="62">
        <f>AB73-AC73</f>
        <v>39329920</v>
      </c>
      <c r="AE73" s="102">
        <v>6.44</v>
      </c>
      <c r="AF73" s="62">
        <v>237282</v>
      </c>
      <c r="AG73" s="75">
        <v>44.38</v>
      </c>
      <c r="AH73" s="62">
        <v>1645208</v>
      </c>
      <c r="AI73" s="102">
        <v>0</v>
      </c>
      <c r="AJ73" s="102">
        <v>0</v>
      </c>
      <c r="AK73" s="61">
        <v>0</v>
      </c>
      <c r="AL73" s="62">
        <v>0</v>
      </c>
      <c r="AM73" s="62">
        <f>AF73+AH73+AL73</f>
        <v>1882490</v>
      </c>
      <c r="AN73" s="102">
        <v>0</v>
      </c>
      <c r="AO73" s="62">
        <v>0</v>
      </c>
      <c r="AP73" s="102">
        <v>0</v>
      </c>
      <c r="AQ73" s="102">
        <v>0</v>
      </c>
      <c r="AR73" s="61">
        <v>0</v>
      </c>
      <c r="AS73" s="62">
        <v>0</v>
      </c>
      <c r="AT73" s="62">
        <f>AO73+AS73</f>
        <v>0</v>
      </c>
      <c r="AU73" s="102">
        <f>AE73+AG73+AN73</f>
        <v>50.82</v>
      </c>
      <c r="AV73" s="62">
        <f>AF73+AH73+AO73</f>
        <v>1882490</v>
      </c>
      <c r="AW73" s="62">
        <f>AL73+AS73</f>
        <v>0</v>
      </c>
      <c r="AX73" s="62">
        <f>AT73+AM73</f>
        <v>1882490</v>
      </c>
      <c r="AY73" s="380">
        <f>ROUND((AT73/AD73)*1000,3)</f>
        <v>0</v>
      </c>
      <c r="AZ73" s="380">
        <f>ROUND((AM73/AD73)*1000,3)</f>
        <v>47.864</v>
      </c>
      <c r="BA73" s="380">
        <f>ROUND((AX73/AD73)*1000,3)</f>
        <v>47.864</v>
      </c>
      <c r="BB73" s="66">
        <v>0.01</v>
      </c>
      <c r="BC73" s="62">
        <v>1963895</v>
      </c>
      <c r="BD73" s="62">
        <v>0</v>
      </c>
      <c r="BE73" s="62">
        <f>SUM(BC73+BD73)</f>
        <v>1963895</v>
      </c>
      <c r="BF73" s="62">
        <f>ROUND(BE73/BB73,0)</f>
        <v>196389500</v>
      </c>
      <c r="BG73" s="66">
        <f>ROUND(BC73/BF73,4)</f>
        <v>0.01</v>
      </c>
      <c r="BH73" s="66">
        <f>ROUND(BD73/BF73,4)</f>
        <v>0</v>
      </c>
      <c r="BI73" s="62">
        <f>AM73+AT73+BC73+BD73+I73</f>
        <v>4087671</v>
      </c>
    </row>
    <row r="74" spans="2:61" ht="12.75">
      <c r="B74" s="55"/>
      <c r="C74" s="56"/>
      <c r="D74" s="56"/>
      <c r="E74" s="56"/>
      <c r="F74" s="70"/>
      <c r="G74" s="56"/>
      <c r="H74" s="70"/>
      <c r="I74" s="56"/>
      <c r="J74" s="70"/>
      <c r="K74" s="56"/>
      <c r="L74" s="70"/>
      <c r="M74" s="76"/>
      <c r="N74" s="56"/>
      <c r="O74" s="75"/>
      <c r="P74" s="56"/>
      <c r="Q74" s="70"/>
      <c r="R74" s="68"/>
      <c r="S74" s="56"/>
      <c r="T74" s="56"/>
      <c r="U74" s="62"/>
      <c r="V74" s="62"/>
      <c r="W74" s="56"/>
      <c r="X74" s="70"/>
      <c r="Y74" s="81"/>
      <c r="Z74" s="56"/>
      <c r="AA74" s="56"/>
      <c r="AB74" s="56"/>
      <c r="AC74" s="56"/>
      <c r="AD74" s="56"/>
      <c r="AE74" s="102"/>
      <c r="AF74" s="56"/>
      <c r="AG74" s="56"/>
      <c r="AH74" s="56"/>
      <c r="AI74" s="102"/>
      <c r="AJ74" s="102"/>
      <c r="AK74" s="56"/>
      <c r="AL74" s="56"/>
      <c r="AM74" s="56"/>
      <c r="AN74" s="56"/>
      <c r="AO74" s="56"/>
      <c r="AP74" s="102"/>
      <c r="AQ74" s="102"/>
      <c r="AR74" s="56"/>
      <c r="AS74" s="56"/>
      <c r="AT74" s="56"/>
      <c r="AU74" s="56"/>
      <c r="AV74" s="56" t="s">
        <v>0</v>
      </c>
      <c r="AW74" s="56"/>
      <c r="AX74" s="70"/>
      <c r="AY74" s="80"/>
      <c r="AZ74" s="80"/>
      <c r="BA74" s="80"/>
      <c r="BB74" s="56"/>
      <c r="BC74" s="56"/>
      <c r="BD74" s="56"/>
      <c r="BE74" s="56"/>
      <c r="BF74" s="56"/>
      <c r="BG74" s="68"/>
      <c r="BH74" s="56"/>
      <c r="BI74" s="56"/>
    </row>
    <row r="75" spans="2:61" ht="13.5" thickBot="1">
      <c r="B75" s="71"/>
      <c r="C75" s="283" t="s">
        <v>69</v>
      </c>
      <c r="D75" s="318">
        <f>SUM(D8:D73)</f>
        <v>981811</v>
      </c>
      <c r="E75" s="286">
        <f>SUM(E8:E73)</f>
        <v>656086257</v>
      </c>
      <c r="F75" s="288">
        <f>ROUND(E75/D75,2)</f>
        <v>668.24</v>
      </c>
      <c r="G75" s="286">
        <f>SUM(G8:G73)</f>
        <v>1001558233</v>
      </c>
      <c r="H75" s="288">
        <f>ROUND(G75/D75,2)</f>
        <v>1020.11</v>
      </c>
      <c r="I75" s="286">
        <f>SUM(I8:I73)</f>
        <v>37374667.5</v>
      </c>
      <c r="J75" s="288">
        <f>ROUND(I75/D75,2)</f>
        <v>38.07</v>
      </c>
      <c r="K75" s="286">
        <f>SUM(K8:K73)</f>
        <v>1695019157.5</v>
      </c>
      <c r="L75" s="288">
        <f>ROUND(K75/D75,2)</f>
        <v>1726.42</v>
      </c>
      <c r="M75" s="317">
        <f>ROUND(L75/L$75,8)</f>
        <v>1</v>
      </c>
      <c r="N75" s="283"/>
      <c r="O75" s="319">
        <f>BA75</f>
        <v>41.11</v>
      </c>
      <c r="P75" s="286">
        <f>SUM(P8:P73)</f>
        <v>656093426</v>
      </c>
      <c r="Q75" s="288">
        <f>ROUND(P75/D75,2)</f>
        <v>668.25</v>
      </c>
      <c r="R75" s="303">
        <f>BB75</f>
        <v>0.018</v>
      </c>
      <c r="S75" s="286">
        <f>SUM(S8:S73)</f>
        <v>1000538884</v>
      </c>
      <c r="T75" s="288">
        <f>S75/D75</f>
        <v>1019.074836195561</v>
      </c>
      <c r="U75" s="286">
        <f>SUM(U8:U73)</f>
        <v>37374667.5</v>
      </c>
      <c r="V75" s="301">
        <f>ROUND(U75/D75,2)</f>
        <v>38.07</v>
      </c>
      <c r="W75" s="286">
        <f>SUM(W8:W73)</f>
        <v>1694006977.5</v>
      </c>
      <c r="X75" s="288">
        <f>ROUND(W75/D75,2)</f>
        <v>1725.39</v>
      </c>
      <c r="Y75" s="320">
        <f>ROUND(X75/L75,6)</f>
        <v>0.999403</v>
      </c>
      <c r="Z75" s="283"/>
      <c r="AA75" s="283"/>
      <c r="AB75" s="286">
        <f>SUM(AB8:AB73)</f>
        <v>21181167118</v>
      </c>
      <c r="AC75" s="286">
        <f>SUM(AC8:AC73)</f>
        <v>5221880845</v>
      </c>
      <c r="AD75" s="286">
        <f>SUM(AD8:AD73)</f>
        <v>15959286273</v>
      </c>
      <c r="AE75" s="379"/>
      <c r="AF75" s="286">
        <f>SUM(AF8:AF73)</f>
        <v>112223389</v>
      </c>
      <c r="AG75" s="283"/>
      <c r="AH75" s="286">
        <f>SUM(AH8:AH73)</f>
        <v>383418901</v>
      </c>
      <c r="AI75" s="283"/>
      <c r="AJ75" s="283"/>
      <c r="AK75" s="283"/>
      <c r="AL75" s="286">
        <f>SUM(AL8:AL73)</f>
        <v>13864395</v>
      </c>
      <c r="AM75" s="286">
        <f>SUM(AM8:AM73)</f>
        <v>509506685</v>
      </c>
      <c r="AN75" s="283"/>
      <c r="AO75" s="286">
        <f>SUM(AO8:AO73)</f>
        <v>86692620</v>
      </c>
      <c r="AP75" s="283"/>
      <c r="AQ75" s="283"/>
      <c r="AR75" s="283"/>
      <c r="AS75" s="286">
        <f>SUM(AS8:AS73)</f>
        <v>59894121</v>
      </c>
      <c r="AT75" s="286">
        <f>SUM(AT8:AT73)</f>
        <v>146586741</v>
      </c>
      <c r="AU75" s="283"/>
      <c r="AV75" s="286">
        <f>SUM(AV8:AV73)</f>
        <v>582334910</v>
      </c>
      <c r="AW75" s="286">
        <f>SUM(AW8:AW73)</f>
        <v>73758516</v>
      </c>
      <c r="AX75" s="286">
        <f>SUM(AX8:AX73)</f>
        <v>656093426</v>
      </c>
      <c r="AY75" s="382">
        <f>ROUND((AT75/AD75)*1000,3)</f>
        <v>9.185</v>
      </c>
      <c r="AZ75" s="321">
        <f>ROUND((AM75/AD75)*1000,3)</f>
        <v>31.925</v>
      </c>
      <c r="BA75" s="321">
        <f>ROUND((AX75/AD75)*1000,3)</f>
        <v>41.11</v>
      </c>
      <c r="BB75" s="303">
        <f>ROUND(BE75/BF75,4)</f>
        <v>0.018</v>
      </c>
      <c r="BC75" s="286">
        <f>SUM(BC8:BC73)</f>
        <v>971058192</v>
      </c>
      <c r="BD75" s="286">
        <f>SUM(BD8:BD73)</f>
        <v>29480692</v>
      </c>
      <c r="BE75" s="286">
        <f>SUM(BE8:BE73)</f>
        <v>1000538884</v>
      </c>
      <c r="BF75" s="286">
        <f>SUM(BF8:BF73)</f>
        <v>55642123964</v>
      </c>
      <c r="BG75" s="303">
        <f>ROUND(BC75/BF75,4)</f>
        <v>0.0175</v>
      </c>
      <c r="BH75" s="303">
        <v>0.0005</v>
      </c>
      <c r="BI75" s="286">
        <f>SUM(BI8:BI73)</f>
        <v>1694006977.5</v>
      </c>
    </row>
    <row r="76" ht="13.5" thickTop="1"/>
  </sheetData>
  <mergeCells count="16">
    <mergeCell ref="D1:I1"/>
    <mergeCell ref="Y1:Z2"/>
    <mergeCell ref="BI4:BI5"/>
    <mergeCell ref="I3:I4"/>
    <mergeCell ref="AE4:AF4"/>
    <mergeCell ref="AM4:AM5"/>
    <mergeCell ref="AT4:AT5"/>
    <mergeCell ref="BB4:BE4"/>
    <mergeCell ref="BG4:BG5"/>
    <mergeCell ref="BH4:BH5"/>
    <mergeCell ref="E4:H4"/>
    <mergeCell ref="BF4:BF5"/>
    <mergeCell ref="AB4:AD4"/>
    <mergeCell ref="AG4:AL4"/>
    <mergeCell ref="AN4:AS4"/>
    <mergeCell ref="AU4:BA4"/>
  </mergeCells>
  <printOptions/>
  <pageMargins left="0.48" right="0.29" top="0.62" bottom="0.34" header="0.31" footer="0.2"/>
  <pageSetup firstPageNumber="17" useFirstPageNumber="1" horizontalDpi="600" verticalDpi="600" orientation="portrait" paperSize="5" scale="82" r:id="rId1"/>
  <headerFooter alignWithMargins="0">
    <oddHeader>&amp;RCircular 1063</oddHeader>
    <oddFooter>&amp;L&amp;F, &amp;A, Prepared by Division of Education Finance&amp;R&amp;D, Page &amp;P</oddFooter>
  </headerFooter>
  <colBreaks count="3" manualBreakCount="3">
    <brk id="30" max="65535" man="1"/>
    <brk id="39" max="65535" man="1"/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X75"/>
  <sheetViews>
    <sheetView workbookViewId="0" topLeftCell="J1">
      <selection activeCell="U5" sqref="U5"/>
    </sheetView>
  </sheetViews>
  <sheetFormatPr defaultColWidth="9.140625" defaultRowHeight="12.75"/>
  <cols>
    <col min="1" max="1" width="4.57421875" style="0" customWidth="1"/>
    <col min="2" max="2" width="20.57421875" style="0" bestFit="1" customWidth="1"/>
    <col min="3" max="3" width="7.421875" style="0" customWidth="1"/>
    <col min="4" max="4" width="6.7109375" style="0" customWidth="1"/>
    <col min="5" max="17" width="7.7109375" style="0" customWidth="1"/>
    <col min="18" max="18" width="4.28125" style="0" customWidth="1"/>
    <col min="19" max="19" width="5.7109375" style="0" customWidth="1"/>
    <col min="20" max="20" width="9.28125" style="0" customWidth="1"/>
    <col min="21" max="21" width="11.28125" style="0" customWidth="1"/>
    <col min="22" max="22" width="2.7109375" style="0" customWidth="1"/>
    <col min="23" max="23" width="11.28125" style="0" customWidth="1"/>
    <col min="24" max="24" width="12.28125" style="0" customWidth="1"/>
  </cols>
  <sheetData>
    <row r="2" spans="1:24" ht="33.75" customHeight="1">
      <c r="A2" s="396"/>
      <c r="B2" s="376"/>
      <c r="C2" s="350" t="s">
        <v>685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0" t="s">
        <v>545</v>
      </c>
      <c r="O2" s="351"/>
      <c r="P2" s="351"/>
      <c r="Q2" s="351"/>
      <c r="R2" s="351"/>
      <c r="S2" s="351"/>
      <c r="T2" s="351"/>
      <c r="U2" s="351"/>
      <c r="V2" s="351"/>
      <c r="W2" s="351"/>
      <c r="X2" s="351"/>
    </row>
    <row r="4" spans="1:24" ht="12.75">
      <c r="A4" s="346"/>
      <c r="B4" s="346"/>
      <c r="C4" s="614" t="s">
        <v>546</v>
      </c>
      <c r="D4" s="615"/>
      <c r="E4" s="615"/>
      <c r="F4" s="615"/>
      <c r="G4" s="615"/>
      <c r="H4" s="615"/>
      <c r="I4" s="615"/>
      <c r="J4" s="615"/>
      <c r="K4" s="615"/>
      <c r="L4" s="615"/>
      <c r="M4" s="616"/>
      <c r="N4" s="614" t="s">
        <v>547</v>
      </c>
      <c r="O4" s="615"/>
      <c r="P4" s="615"/>
      <c r="Q4" s="615"/>
      <c r="R4" s="615"/>
      <c r="S4" s="615"/>
      <c r="T4" s="616"/>
      <c r="U4" s="529" t="s">
        <v>548</v>
      </c>
      <c r="W4" s="532" t="s">
        <v>548</v>
      </c>
      <c r="X4" s="535"/>
    </row>
    <row r="5" spans="1:24" ht="12.75">
      <c r="A5" s="59" t="s">
        <v>383</v>
      </c>
      <c r="B5" s="354" t="s">
        <v>130</v>
      </c>
      <c r="C5" s="617"/>
      <c r="D5" s="618"/>
      <c r="E5" s="618"/>
      <c r="F5" s="618"/>
      <c r="G5" s="618"/>
      <c r="H5" s="618"/>
      <c r="I5" s="618"/>
      <c r="J5" s="618"/>
      <c r="K5" s="618"/>
      <c r="L5" s="618"/>
      <c r="M5" s="619"/>
      <c r="N5" s="617"/>
      <c r="O5" s="618"/>
      <c r="P5" s="618"/>
      <c r="Q5" s="618"/>
      <c r="R5" s="618"/>
      <c r="S5" s="618"/>
      <c r="T5" s="619"/>
      <c r="U5" s="530">
        <v>2000</v>
      </c>
      <c r="W5" s="533">
        <v>1999</v>
      </c>
      <c r="X5" s="536" t="s">
        <v>549</v>
      </c>
    </row>
    <row r="6" spans="1:24" s="356" customFormat="1" ht="12.75">
      <c r="A6" s="355"/>
      <c r="B6" s="355"/>
      <c r="C6" s="352" t="s">
        <v>550</v>
      </c>
      <c r="D6" s="352" t="s">
        <v>551</v>
      </c>
      <c r="E6" s="352" t="s">
        <v>552</v>
      </c>
      <c r="F6" s="352" t="s">
        <v>553</v>
      </c>
      <c r="G6" s="352" t="s">
        <v>554</v>
      </c>
      <c r="H6" s="352" t="s">
        <v>555</v>
      </c>
      <c r="I6" s="352" t="s">
        <v>556</v>
      </c>
      <c r="J6" s="352" t="s">
        <v>557</v>
      </c>
      <c r="K6" s="352" t="s">
        <v>558</v>
      </c>
      <c r="L6" s="352" t="s">
        <v>559</v>
      </c>
      <c r="M6" s="352" t="s">
        <v>560</v>
      </c>
      <c r="N6" s="352" t="s">
        <v>561</v>
      </c>
      <c r="O6" s="352" t="s">
        <v>562</v>
      </c>
      <c r="P6" s="352" t="s">
        <v>563</v>
      </c>
      <c r="Q6" s="352" t="s">
        <v>564</v>
      </c>
      <c r="R6" s="352" t="s">
        <v>565</v>
      </c>
      <c r="S6" s="352" t="s">
        <v>566</v>
      </c>
      <c r="T6" s="353" t="s">
        <v>567</v>
      </c>
      <c r="U6" s="530" t="s">
        <v>568</v>
      </c>
      <c r="W6" s="533" t="s">
        <v>568</v>
      </c>
      <c r="X6" s="537" t="s">
        <v>313</v>
      </c>
    </row>
    <row r="7" spans="1:24" ht="12.75">
      <c r="A7" s="347"/>
      <c r="B7" s="347"/>
      <c r="C7" s="369"/>
      <c r="D7" s="357" t="s">
        <v>569</v>
      </c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58"/>
      <c r="U7" s="531"/>
      <c r="W7" s="534" t="s">
        <v>570</v>
      </c>
      <c r="X7" s="538"/>
    </row>
    <row r="8" spans="1:24" ht="12.75">
      <c r="A8" s="60">
        <v>1</v>
      </c>
      <c r="B8" s="359" t="s">
        <v>571</v>
      </c>
      <c r="C8" s="360">
        <v>46</v>
      </c>
      <c r="D8" s="361">
        <v>77</v>
      </c>
      <c r="E8" s="361">
        <v>805</v>
      </c>
      <c r="F8" s="361">
        <v>799</v>
      </c>
      <c r="G8" s="361">
        <v>762</v>
      </c>
      <c r="H8" s="361">
        <v>789</v>
      </c>
      <c r="I8" s="361">
        <v>885</v>
      </c>
      <c r="J8" s="361">
        <v>705</v>
      </c>
      <c r="K8" s="361">
        <v>818</v>
      </c>
      <c r="L8" s="361">
        <v>751</v>
      </c>
      <c r="M8" s="361">
        <v>752</v>
      </c>
      <c r="N8" s="361">
        <v>721</v>
      </c>
      <c r="O8" s="361">
        <v>655</v>
      </c>
      <c r="P8" s="361">
        <v>588</v>
      </c>
      <c r="Q8" s="361">
        <v>532</v>
      </c>
      <c r="R8" s="361"/>
      <c r="S8" s="361"/>
      <c r="T8" s="361">
        <v>126</v>
      </c>
      <c r="U8" s="362">
        <f>SUM(C8:T8)</f>
        <v>9811</v>
      </c>
      <c r="W8" s="361">
        <v>10007</v>
      </c>
      <c r="X8" s="361">
        <f>U8-W8</f>
        <v>-196</v>
      </c>
    </row>
    <row r="9" spans="1:24" ht="12.75">
      <c r="A9" s="60">
        <v>2</v>
      </c>
      <c r="B9" s="359" t="s">
        <v>572</v>
      </c>
      <c r="C9" s="363">
        <v>4</v>
      </c>
      <c r="D9" s="362">
        <v>32</v>
      </c>
      <c r="E9" s="362">
        <v>400</v>
      </c>
      <c r="F9" s="362">
        <v>363</v>
      </c>
      <c r="G9" s="362">
        <v>334</v>
      </c>
      <c r="H9" s="362">
        <v>338</v>
      </c>
      <c r="I9" s="362">
        <v>361</v>
      </c>
      <c r="J9" s="362">
        <v>359</v>
      </c>
      <c r="K9" s="362">
        <v>314</v>
      </c>
      <c r="L9" s="362">
        <v>394</v>
      </c>
      <c r="M9" s="362">
        <v>332</v>
      </c>
      <c r="N9" s="362">
        <v>261</v>
      </c>
      <c r="O9" s="362">
        <v>289</v>
      </c>
      <c r="P9" s="362">
        <v>248</v>
      </c>
      <c r="Q9" s="362">
        <v>208</v>
      </c>
      <c r="R9" s="362"/>
      <c r="S9" s="362"/>
      <c r="T9" s="362">
        <v>21</v>
      </c>
      <c r="U9" s="362">
        <f aca="true" t="shared" si="0" ref="U9:U72">SUM(C9:T9)</f>
        <v>4258</v>
      </c>
      <c r="W9" s="362">
        <v>4239</v>
      </c>
      <c r="X9" s="362">
        <f aca="true" t="shared" si="1" ref="X9:X72">U9-W9</f>
        <v>19</v>
      </c>
    </row>
    <row r="10" spans="1:24" ht="12.75">
      <c r="A10" s="60">
        <v>3</v>
      </c>
      <c r="B10" s="359" t="s">
        <v>573</v>
      </c>
      <c r="C10" s="363">
        <v>47</v>
      </c>
      <c r="D10" s="362">
        <v>109</v>
      </c>
      <c r="E10" s="362">
        <v>1320</v>
      </c>
      <c r="F10" s="362">
        <v>1293</v>
      </c>
      <c r="G10" s="362">
        <v>1197</v>
      </c>
      <c r="H10" s="362">
        <v>1139</v>
      </c>
      <c r="I10" s="362">
        <v>1292</v>
      </c>
      <c r="J10" s="362">
        <v>1089</v>
      </c>
      <c r="K10" s="362">
        <v>1132</v>
      </c>
      <c r="L10" s="362">
        <v>1193</v>
      </c>
      <c r="M10" s="362">
        <v>1038</v>
      </c>
      <c r="N10" s="362">
        <v>1102</v>
      </c>
      <c r="O10" s="362">
        <v>1032</v>
      </c>
      <c r="P10" s="362">
        <v>915</v>
      </c>
      <c r="Q10" s="362">
        <v>862</v>
      </c>
      <c r="R10" s="362"/>
      <c r="S10" s="362"/>
      <c r="T10" s="362">
        <v>67</v>
      </c>
      <c r="U10" s="362">
        <f t="shared" si="0"/>
        <v>14827</v>
      </c>
      <c r="W10" s="362">
        <v>14655</v>
      </c>
      <c r="X10" s="362">
        <f t="shared" si="1"/>
        <v>172</v>
      </c>
    </row>
    <row r="11" spans="1:24" ht="12.75">
      <c r="A11" s="60">
        <v>4</v>
      </c>
      <c r="B11" s="359" t="s">
        <v>574</v>
      </c>
      <c r="C11" s="363">
        <v>28</v>
      </c>
      <c r="D11" s="362">
        <v>89</v>
      </c>
      <c r="E11" s="362">
        <v>346</v>
      </c>
      <c r="F11" s="362">
        <v>333</v>
      </c>
      <c r="G11" s="362">
        <v>379</v>
      </c>
      <c r="H11" s="362">
        <v>369</v>
      </c>
      <c r="I11" s="362">
        <v>352</v>
      </c>
      <c r="J11" s="362">
        <v>327</v>
      </c>
      <c r="K11" s="362">
        <v>388</v>
      </c>
      <c r="L11" s="362">
        <v>361</v>
      </c>
      <c r="M11" s="362">
        <v>367</v>
      </c>
      <c r="N11" s="362">
        <v>369</v>
      </c>
      <c r="O11" s="362">
        <v>279</v>
      </c>
      <c r="P11" s="362">
        <v>245</v>
      </c>
      <c r="Q11" s="362">
        <v>177</v>
      </c>
      <c r="R11" s="362"/>
      <c r="S11" s="362"/>
      <c r="T11" s="362"/>
      <c r="U11" s="362">
        <f t="shared" si="0"/>
        <v>4409</v>
      </c>
      <c r="W11" s="362">
        <v>4551</v>
      </c>
      <c r="X11" s="362">
        <f t="shared" si="1"/>
        <v>-142</v>
      </c>
    </row>
    <row r="12" spans="1:24" ht="12.75">
      <c r="A12" s="83">
        <v>5</v>
      </c>
      <c r="B12" s="358" t="s">
        <v>575</v>
      </c>
      <c r="C12" s="364">
        <v>37</v>
      </c>
      <c r="D12" s="365">
        <v>55</v>
      </c>
      <c r="E12" s="365">
        <v>547</v>
      </c>
      <c r="F12" s="365">
        <v>531</v>
      </c>
      <c r="G12" s="365">
        <v>487</v>
      </c>
      <c r="H12" s="365">
        <v>508</v>
      </c>
      <c r="I12" s="365">
        <v>568</v>
      </c>
      <c r="J12" s="365">
        <v>428</v>
      </c>
      <c r="K12" s="365">
        <v>535</v>
      </c>
      <c r="L12" s="365">
        <v>652</v>
      </c>
      <c r="M12" s="365">
        <v>545</v>
      </c>
      <c r="N12" s="365">
        <v>550</v>
      </c>
      <c r="O12" s="365">
        <v>461</v>
      </c>
      <c r="P12" s="365">
        <v>449</v>
      </c>
      <c r="Q12" s="365">
        <v>395</v>
      </c>
      <c r="R12" s="365"/>
      <c r="S12" s="365"/>
      <c r="T12" s="365">
        <v>148</v>
      </c>
      <c r="U12" s="365">
        <f t="shared" si="0"/>
        <v>6896</v>
      </c>
      <c r="V12" s="310"/>
      <c r="W12" s="365">
        <v>7189</v>
      </c>
      <c r="X12" s="365">
        <f t="shared" si="1"/>
        <v>-293</v>
      </c>
    </row>
    <row r="13" spans="1:24" ht="12.75">
      <c r="A13" s="60">
        <v>6</v>
      </c>
      <c r="B13" s="359" t="s">
        <v>576</v>
      </c>
      <c r="C13" s="370" t="s">
        <v>636</v>
      </c>
      <c r="D13" s="362">
        <v>81</v>
      </c>
      <c r="E13" s="362">
        <v>442</v>
      </c>
      <c r="F13" s="362">
        <v>476</v>
      </c>
      <c r="G13" s="362">
        <v>479</v>
      </c>
      <c r="H13" s="362">
        <v>453</v>
      </c>
      <c r="I13" s="362">
        <v>489</v>
      </c>
      <c r="J13" s="362">
        <v>485</v>
      </c>
      <c r="K13" s="362">
        <v>480</v>
      </c>
      <c r="L13" s="362">
        <v>476</v>
      </c>
      <c r="M13" s="362">
        <v>491</v>
      </c>
      <c r="N13" s="362">
        <v>456</v>
      </c>
      <c r="O13" s="362">
        <v>434</v>
      </c>
      <c r="P13" s="362">
        <v>402</v>
      </c>
      <c r="Q13" s="362">
        <v>397</v>
      </c>
      <c r="R13" s="362"/>
      <c r="S13" s="362"/>
      <c r="T13" s="362">
        <v>21</v>
      </c>
      <c r="U13" s="362">
        <f t="shared" si="0"/>
        <v>6062</v>
      </c>
      <c r="W13" s="362">
        <v>6120</v>
      </c>
      <c r="X13" s="362">
        <f t="shared" si="1"/>
        <v>-58</v>
      </c>
    </row>
    <row r="14" spans="1:24" ht="12.75">
      <c r="A14" s="60">
        <v>7</v>
      </c>
      <c r="B14" s="359" t="s">
        <v>577</v>
      </c>
      <c r="C14" s="370" t="s">
        <v>636</v>
      </c>
      <c r="D14" s="362">
        <v>20</v>
      </c>
      <c r="E14" s="362">
        <v>176</v>
      </c>
      <c r="F14" s="362">
        <v>183</v>
      </c>
      <c r="G14" s="362">
        <v>209</v>
      </c>
      <c r="H14" s="362">
        <v>231</v>
      </c>
      <c r="I14" s="362">
        <v>233</v>
      </c>
      <c r="J14" s="362">
        <v>173</v>
      </c>
      <c r="K14" s="362">
        <v>181</v>
      </c>
      <c r="L14" s="362">
        <v>221</v>
      </c>
      <c r="M14" s="362">
        <v>233</v>
      </c>
      <c r="N14" s="362">
        <v>190</v>
      </c>
      <c r="O14" s="362">
        <v>172</v>
      </c>
      <c r="P14" s="362">
        <v>162</v>
      </c>
      <c r="Q14" s="362">
        <v>137</v>
      </c>
      <c r="R14" s="362"/>
      <c r="S14" s="362"/>
      <c r="T14" s="362">
        <v>7</v>
      </c>
      <c r="U14" s="362">
        <f t="shared" si="0"/>
        <v>2528</v>
      </c>
      <c r="W14" s="362">
        <v>2657</v>
      </c>
      <c r="X14" s="362">
        <f t="shared" si="1"/>
        <v>-129</v>
      </c>
    </row>
    <row r="15" spans="1:24" ht="12.75">
      <c r="A15" s="60">
        <v>8</v>
      </c>
      <c r="B15" s="359" t="s">
        <v>578</v>
      </c>
      <c r="C15" s="370" t="s">
        <v>636</v>
      </c>
      <c r="D15" s="362">
        <v>137</v>
      </c>
      <c r="E15" s="362">
        <v>1443</v>
      </c>
      <c r="F15" s="362">
        <v>1543</v>
      </c>
      <c r="G15" s="362">
        <v>1406</v>
      </c>
      <c r="H15" s="362">
        <v>1478</v>
      </c>
      <c r="I15" s="362">
        <v>1620</v>
      </c>
      <c r="J15" s="362">
        <v>1382</v>
      </c>
      <c r="K15" s="362">
        <v>1421</v>
      </c>
      <c r="L15" s="362">
        <v>1549</v>
      </c>
      <c r="M15" s="362">
        <v>1604</v>
      </c>
      <c r="N15" s="362">
        <v>1488</v>
      </c>
      <c r="O15" s="362">
        <v>1377</v>
      </c>
      <c r="P15" s="362">
        <v>1143</v>
      </c>
      <c r="Q15" s="362">
        <v>1094</v>
      </c>
      <c r="R15" s="362"/>
      <c r="S15" s="362"/>
      <c r="T15" s="362"/>
      <c r="U15" s="362">
        <f t="shared" si="0"/>
        <v>18685</v>
      </c>
      <c r="W15" s="362">
        <v>18676</v>
      </c>
      <c r="X15" s="362">
        <f t="shared" si="1"/>
        <v>9</v>
      </c>
    </row>
    <row r="16" spans="1:24" ht="12.75">
      <c r="A16" s="60">
        <v>9</v>
      </c>
      <c r="B16" s="359" t="s">
        <v>579</v>
      </c>
      <c r="C16" s="370" t="s">
        <v>636</v>
      </c>
      <c r="D16" s="362">
        <v>332</v>
      </c>
      <c r="E16" s="362">
        <v>3334</v>
      </c>
      <c r="F16" s="362">
        <v>3407</v>
      </c>
      <c r="G16" s="362">
        <v>3416</v>
      </c>
      <c r="H16" s="362">
        <v>3696</v>
      </c>
      <c r="I16" s="362">
        <v>4072</v>
      </c>
      <c r="J16" s="362">
        <v>2955</v>
      </c>
      <c r="K16" s="362">
        <v>3597</v>
      </c>
      <c r="L16" s="362">
        <v>3390</v>
      </c>
      <c r="M16" s="362">
        <v>3987</v>
      </c>
      <c r="N16" s="362">
        <v>3384</v>
      </c>
      <c r="O16" s="362">
        <v>3437</v>
      </c>
      <c r="P16" s="362">
        <v>2859</v>
      </c>
      <c r="Q16" s="362">
        <v>2393</v>
      </c>
      <c r="R16" s="362"/>
      <c r="S16" s="362"/>
      <c r="T16" s="362"/>
      <c r="U16" s="362">
        <f t="shared" si="0"/>
        <v>44259</v>
      </c>
      <c r="W16" s="362">
        <v>45365</v>
      </c>
      <c r="X16" s="362">
        <f t="shared" si="1"/>
        <v>-1106</v>
      </c>
    </row>
    <row r="17" spans="1:24" ht="12.75">
      <c r="A17" s="83">
        <v>10</v>
      </c>
      <c r="B17" s="358" t="s">
        <v>580</v>
      </c>
      <c r="C17" s="371" t="s">
        <v>636</v>
      </c>
      <c r="D17" s="365">
        <v>314</v>
      </c>
      <c r="E17" s="365">
        <v>2438</v>
      </c>
      <c r="F17" s="365">
        <v>2756</v>
      </c>
      <c r="G17" s="365">
        <v>2483</v>
      </c>
      <c r="H17" s="365">
        <v>2483</v>
      </c>
      <c r="I17" s="365">
        <v>2541</v>
      </c>
      <c r="J17" s="365">
        <v>2345</v>
      </c>
      <c r="K17" s="365">
        <v>2447</v>
      </c>
      <c r="L17" s="365">
        <v>2432</v>
      </c>
      <c r="M17" s="365">
        <v>2532</v>
      </c>
      <c r="N17" s="365">
        <v>2614</v>
      </c>
      <c r="O17" s="365">
        <v>2341</v>
      </c>
      <c r="P17" s="365">
        <v>2092</v>
      </c>
      <c r="Q17" s="365">
        <v>2050</v>
      </c>
      <c r="R17" s="365"/>
      <c r="S17" s="365"/>
      <c r="T17" s="365">
        <v>231</v>
      </c>
      <c r="U17" s="365">
        <f t="shared" si="0"/>
        <v>32099</v>
      </c>
      <c r="V17" s="310"/>
      <c r="W17" s="365">
        <v>32446</v>
      </c>
      <c r="X17" s="365">
        <f t="shared" si="1"/>
        <v>-347</v>
      </c>
    </row>
    <row r="18" spans="1:24" ht="12.75">
      <c r="A18" s="60">
        <v>11</v>
      </c>
      <c r="B18" s="359" t="s">
        <v>581</v>
      </c>
      <c r="C18" s="370" t="s">
        <v>636</v>
      </c>
      <c r="D18" s="362">
        <v>28</v>
      </c>
      <c r="E18" s="362">
        <v>126</v>
      </c>
      <c r="F18" s="362">
        <v>136</v>
      </c>
      <c r="G18" s="362">
        <v>158</v>
      </c>
      <c r="H18" s="362">
        <v>152</v>
      </c>
      <c r="I18" s="362">
        <v>167</v>
      </c>
      <c r="J18" s="362">
        <v>130</v>
      </c>
      <c r="K18" s="362">
        <v>144</v>
      </c>
      <c r="L18" s="362">
        <v>135</v>
      </c>
      <c r="M18" s="362">
        <v>178</v>
      </c>
      <c r="N18" s="362">
        <v>140</v>
      </c>
      <c r="O18" s="362">
        <v>124</v>
      </c>
      <c r="P18" s="362">
        <v>83</v>
      </c>
      <c r="Q18" s="362">
        <v>95</v>
      </c>
      <c r="R18" s="362"/>
      <c r="S18" s="362"/>
      <c r="T18" s="362">
        <v>12</v>
      </c>
      <c r="U18" s="362">
        <f t="shared" si="0"/>
        <v>1808</v>
      </c>
      <c r="W18" s="362">
        <v>1847</v>
      </c>
      <c r="X18" s="362">
        <f t="shared" si="1"/>
        <v>-39</v>
      </c>
    </row>
    <row r="19" spans="1:24" ht="12.75">
      <c r="A19" s="60">
        <v>12</v>
      </c>
      <c r="B19" s="359" t="s">
        <v>582</v>
      </c>
      <c r="C19" s="370" t="s">
        <v>636</v>
      </c>
      <c r="D19" s="362">
        <v>26</v>
      </c>
      <c r="E19" s="362">
        <v>152</v>
      </c>
      <c r="F19" s="362">
        <v>153</v>
      </c>
      <c r="G19" s="362">
        <v>140</v>
      </c>
      <c r="H19" s="362">
        <v>150</v>
      </c>
      <c r="I19" s="362">
        <v>144</v>
      </c>
      <c r="J19" s="362">
        <v>152</v>
      </c>
      <c r="K19" s="362">
        <v>176</v>
      </c>
      <c r="L19" s="362">
        <v>160</v>
      </c>
      <c r="M19" s="362">
        <v>140</v>
      </c>
      <c r="N19" s="362">
        <v>152</v>
      </c>
      <c r="O19" s="362">
        <v>148</v>
      </c>
      <c r="P19" s="362">
        <v>121</v>
      </c>
      <c r="Q19" s="362">
        <v>140</v>
      </c>
      <c r="R19" s="362"/>
      <c r="S19" s="362"/>
      <c r="T19" s="362">
        <v>5</v>
      </c>
      <c r="U19" s="362">
        <f t="shared" si="0"/>
        <v>1959</v>
      </c>
      <c r="W19" s="362">
        <v>1982</v>
      </c>
      <c r="X19" s="362">
        <f t="shared" si="1"/>
        <v>-23</v>
      </c>
    </row>
    <row r="20" spans="1:24" ht="12.75">
      <c r="A20" s="60">
        <v>13</v>
      </c>
      <c r="B20" s="359" t="s">
        <v>583</v>
      </c>
      <c r="C20" s="370" t="s">
        <v>636</v>
      </c>
      <c r="D20" s="362">
        <v>10</v>
      </c>
      <c r="E20" s="362">
        <v>157</v>
      </c>
      <c r="F20" s="362">
        <v>172</v>
      </c>
      <c r="G20" s="362">
        <v>144</v>
      </c>
      <c r="H20" s="362">
        <v>166</v>
      </c>
      <c r="I20" s="362">
        <v>165</v>
      </c>
      <c r="J20" s="362">
        <v>138</v>
      </c>
      <c r="K20" s="362">
        <v>139</v>
      </c>
      <c r="L20" s="362">
        <v>127</v>
      </c>
      <c r="M20" s="362">
        <v>124</v>
      </c>
      <c r="N20" s="362">
        <v>183</v>
      </c>
      <c r="O20" s="362">
        <v>104</v>
      </c>
      <c r="P20" s="362">
        <v>116</v>
      </c>
      <c r="Q20" s="362">
        <v>113</v>
      </c>
      <c r="R20" s="362"/>
      <c r="S20" s="362"/>
      <c r="T20" s="362">
        <v>29</v>
      </c>
      <c r="U20" s="362">
        <f t="shared" si="0"/>
        <v>1887</v>
      </c>
      <c r="W20" s="362">
        <v>1951</v>
      </c>
      <c r="X20" s="362">
        <f t="shared" si="1"/>
        <v>-64</v>
      </c>
    </row>
    <row r="21" spans="1:24" ht="12.75">
      <c r="A21" s="60">
        <v>14</v>
      </c>
      <c r="B21" s="359" t="s">
        <v>584</v>
      </c>
      <c r="C21" s="363">
        <v>13</v>
      </c>
      <c r="D21" s="362">
        <v>38</v>
      </c>
      <c r="E21" s="362">
        <v>195</v>
      </c>
      <c r="F21" s="362">
        <v>215</v>
      </c>
      <c r="G21" s="362">
        <v>215</v>
      </c>
      <c r="H21" s="362">
        <v>247</v>
      </c>
      <c r="I21" s="362">
        <v>285</v>
      </c>
      <c r="J21" s="362">
        <v>180</v>
      </c>
      <c r="K21" s="362">
        <v>221</v>
      </c>
      <c r="L21" s="362">
        <v>235</v>
      </c>
      <c r="M21" s="362">
        <v>232</v>
      </c>
      <c r="N21" s="362">
        <v>181</v>
      </c>
      <c r="O21" s="362">
        <v>165</v>
      </c>
      <c r="P21" s="362">
        <v>173</v>
      </c>
      <c r="Q21" s="362">
        <v>163</v>
      </c>
      <c r="R21" s="362"/>
      <c r="S21" s="362"/>
      <c r="T21" s="362">
        <v>6</v>
      </c>
      <c r="U21" s="362">
        <f t="shared" si="0"/>
        <v>2764</v>
      </c>
      <c r="W21" s="362">
        <v>2811</v>
      </c>
      <c r="X21" s="362">
        <f t="shared" si="1"/>
        <v>-47</v>
      </c>
    </row>
    <row r="22" spans="1:24" ht="12.75">
      <c r="A22" s="83">
        <v>15</v>
      </c>
      <c r="B22" s="358" t="s">
        <v>585</v>
      </c>
      <c r="C22" s="364">
        <v>19</v>
      </c>
      <c r="D22" s="365">
        <v>30</v>
      </c>
      <c r="E22" s="365">
        <v>329</v>
      </c>
      <c r="F22" s="365">
        <v>331</v>
      </c>
      <c r="G22" s="365">
        <v>296</v>
      </c>
      <c r="H22" s="365">
        <v>318</v>
      </c>
      <c r="I22" s="365">
        <v>357</v>
      </c>
      <c r="J22" s="365">
        <v>257</v>
      </c>
      <c r="K22" s="365">
        <v>348</v>
      </c>
      <c r="L22" s="365">
        <v>300</v>
      </c>
      <c r="M22" s="365">
        <v>319</v>
      </c>
      <c r="N22" s="365">
        <v>235</v>
      </c>
      <c r="O22" s="365">
        <v>240</v>
      </c>
      <c r="P22" s="365">
        <v>239</v>
      </c>
      <c r="Q22" s="365">
        <v>187</v>
      </c>
      <c r="R22" s="365"/>
      <c r="S22" s="365"/>
      <c r="T22" s="365">
        <v>7</v>
      </c>
      <c r="U22" s="365">
        <f t="shared" si="0"/>
        <v>3812</v>
      </c>
      <c r="V22" s="310"/>
      <c r="W22" s="365">
        <v>3933</v>
      </c>
      <c r="X22" s="365">
        <f t="shared" si="1"/>
        <v>-121</v>
      </c>
    </row>
    <row r="23" spans="1:24" ht="12.75">
      <c r="A23" s="60">
        <v>16</v>
      </c>
      <c r="B23" s="359" t="s">
        <v>586</v>
      </c>
      <c r="C23" s="370" t="s">
        <v>636</v>
      </c>
      <c r="D23" s="362">
        <v>42</v>
      </c>
      <c r="E23" s="362">
        <v>383</v>
      </c>
      <c r="F23" s="362">
        <v>389</v>
      </c>
      <c r="G23" s="362">
        <v>409</v>
      </c>
      <c r="H23" s="362">
        <v>399</v>
      </c>
      <c r="I23" s="362">
        <v>439</v>
      </c>
      <c r="J23" s="362">
        <v>329</v>
      </c>
      <c r="K23" s="362">
        <v>433</v>
      </c>
      <c r="L23" s="362">
        <v>431</v>
      </c>
      <c r="M23" s="362">
        <v>377</v>
      </c>
      <c r="N23" s="362">
        <v>397</v>
      </c>
      <c r="O23" s="362">
        <v>320</v>
      </c>
      <c r="P23" s="362">
        <v>304</v>
      </c>
      <c r="Q23" s="362">
        <v>256</v>
      </c>
      <c r="R23" s="362"/>
      <c r="S23" s="362"/>
      <c r="T23" s="362">
        <v>84</v>
      </c>
      <c r="U23" s="362">
        <f t="shared" si="0"/>
        <v>4992</v>
      </c>
      <c r="W23" s="362">
        <v>5093</v>
      </c>
      <c r="X23" s="362">
        <f t="shared" si="1"/>
        <v>-101</v>
      </c>
    </row>
    <row r="24" spans="1:24" ht="12.75">
      <c r="A24" s="60">
        <v>17</v>
      </c>
      <c r="B24" s="359" t="s">
        <v>587</v>
      </c>
      <c r="C24" s="363">
        <v>12</v>
      </c>
      <c r="D24" s="362">
        <v>93</v>
      </c>
      <c r="E24" s="362">
        <v>4022</v>
      </c>
      <c r="F24" s="362">
        <v>4403</v>
      </c>
      <c r="G24" s="362">
        <v>4119</v>
      </c>
      <c r="H24" s="362">
        <v>4180</v>
      </c>
      <c r="I24" s="362">
        <v>4307</v>
      </c>
      <c r="J24" s="362">
        <v>3163</v>
      </c>
      <c r="K24" s="362">
        <v>4448</v>
      </c>
      <c r="L24" s="362">
        <v>4199</v>
      </c>
      <c r="M24" s="362">
        <v>4697</v>
      </c>
      <c r="N24" s="362">
        <v>3583</v>
      </c>
      <c r="O24" s="362">
        <v>4091</v>
      </c>
      <c r="P24" s="362">
        <v>3380</v>
      </c>
      <c r="Q24" s="362">
        <v>3295</v>
      </c>
      <c r="R24" s="362"/>
      <c r="S24" s="362"/>
      <c r="T24" s="362">
        <v>1196</v>
      </c>
      <c r="U24" s="362">
        <f t="shared" si="0"/>
        <v>53188</v>
      </c>
      <c r="W24" s="362">
        <v>54519</v>
      </c>
      <c r="X24" s="362">
        <f t="shared" si="1"/>
        <v>-1331</v>
      </c>
    </row>
    <row r="25" spans="1:24" ht="12.75">
      <c r="A25" s="60">
        <v>18</v>
      </c>
      <c r="B25" s="359" t="s">
        <v>588</v>
      </c>
      <c r="C25" s="370" t="s">
        <v>636</v>
      </c>
      <c r="D25" s="362">
        <v>18</v>
      </c>
      <c r="E25" s="362">
        <v>163</v>
      </c>
      <c r="F25" s="362">
        <v>158</v>
      </c>
      <c r="G25" s="362">
        <v>138</v>
      </c>
      <c r="H25" s="362">
        <v>168</v>
      </c>
      <c r="I25" s="362">
        <v>188</v>
      </c>
      <c r="J25" s="362">
        <v>99</v>
      </c>
      <c r="K25" s="362">
        <v>159</v>
      </c>
      <c r="L25" s="362">
        <v>125</v>
      </c>
      <c r="M25" s="362">
        <v>158</v>
      </c>
      <c r="N25" s="362">
        <v>93</v>
      </c>
      <c r="O25" s="362">
        <v>111</v>
      </c>
      <c r="P25" s="362">
        <v>97</v>
      </c>
      <c r="Q25" s="362">
        <v>100</v>
      </c>
      <c r="R25" s="362"/>
      <c r="S25" s="362"/>
      <c r="T25" s="362">
        <v>32</v>
      </c>
      <c r="U25" s="362">
        <f t="shared" si="0"/>
        <v>1807</v>
      </c>
      <c r="W25" s="362">
        <v>1910</v>
      </c>
      <c r="X25" s="362">
        <f t="shared" si="1"/>
        <v>-103</v>
      </c>
    </row>
    <row r="26" spans="1:24" ht="12.75">
      <c r="A26" s="60">
        <v>19</v>
      </c>
      <c r="B26" s="359" t="s">
        <v>589</v>
      </c>
      <c r="C26" s="370" t="s">
        <v>636</v>
      </c>
      <c r="D26" s="362">
        <v>6</v>
      </c>
      <c r="E26" s="362">
        <v>184</v>
      </c>
      <c r="F26" s="362">
        <v>210</v>
      </c>
      <c r="G26" s="362">
        <v>224</v>
      </c>
      <c r="H26" s="362">
        <v>204</v>
      </c>
      <c r="I26" s="362">
        <v>215</v>
      </c>
      <c r="J26" s="362">
        <v>174</v>
      </c>
      <c r="K26" s="362">
        <v>192</v>
      </c>
      <c r="L26" s="362">
        <v>218</v>
      </c>
      <c r="M26" s="362">
        <v>248</v>
      </c>
      <c r="N26" s="362">
        <v>151</v>
      </c>
      <c r="O26" s="362">
        <v>184</v>
      </c>
      <c r="P26" s="362">
        <v>173</v>
      </c>
      <c r="Q26" s="362">
        <v>131</v>
      </c>
      <c r="R26" s="362"/>
      <c r="S26" s="362"/>
      <c r="T26" s="362">
        <v>14</v>
      </c>
      <c r="U26" s="362">
        <f t="shared" si="0"/>
        <v>2528</v>
      </c>
      <c r="W26" s="362">
        <v>2660</v>
      </c>
      <c r="X26" s="362">
        <f t="shared" si="1"/>
        <v>-132</v>
      </c>
    </row>
    <row r="27" spans="1:24" ht="12.75">
      <c r="A27" s="83">
        <v>20</v>
      </c>
      <c r="B27" s="358" t="s">
        <v>590</v>
      </c>
      <c r="C27" s="364">
        <v>23</v>
      </c>
      <c r="D27" s="365">
        <v>50</v>
      </c>
      <c r="E27" s="365">
        <v>513</v>
      </c>
      <c r="F27" s="365">
        <v>541</v>
      </c>
      <c r="G27" s="365">
        <v>534</v>
      </c>
      <c r="H27" s="365">
        <v>522</v>
      </c>
      <c r="I27" s="365">
        <v>588</v>
      </c>
      <c r="J27" s="365">
        <v>523</v>
      </c>
      <c r="K27" s="365">
        <v>462</v>
      </c>
      <c r="L27" s="365">
        <v>511</v>
      </c>
      <c r="M27" s="365">
        <v>442</v>
      </c>
      <c r="N27" s="365">
        <v>467</v>
      </c>
      <c r="O27" s="365">
        <v>367</v>
      </c>
      <c r="P27" s="365">
        <v>307</v>
      </c>
      <c r="Q27" s="365">
        <v>328</v>
      </c>
      <c r="R27" s="365"/>
      <c r="S27" s="365"/>
      <c r="T27" s="365">
        <v>86</v>
      </c>
      <c r="U27" s="365">
        <f t="shared" si="0"/>
        <v>6264</v>
      </c>
      <c r="V27" s="310"/>
      <c r="W27" s="365">
        <v>6340</v>
      </c>
      <c r="X27" s="365">
        <f t="shared" si="1"/>
        <v>-76</v>
      </c>
    </row>
    <row r="28" spans="1:24" ht="12.75">
      <c r="A28" s="60">
        <v>21</v>
      </c>
      <c r="B28" s="359" t="s">
        <v>591</v>
      </c>
      <c r="C28" s="363">
        <v>15</v>
      </c>
      <c r="D28" s="362">
        <v>36</v>
      </c>
      <c r="E28" s="362">
        <v>288</v>
      </c>
      <c r="F28" s="362">
        <v>312</v>
      </c>
      <c r="G28" s="362">
        <v>294</v>
      </c>
      <c r="H28" s="362">
        <v>327</v>
      </c>
      <c r="I28" s="362">
        <v>327</v>
      </c>
      <c r="J28" s="362">
        <v>260</v>
      </c>
      <c r="K28" s="362">
        <v>332</v>
      </c>
      <c r="L28" s="362">
        <v>329</v>
      </c>
      <c r="M28" s="362">
        <v>331</v>
      </c>
      <c r="N28" s="362">
        <v>228</v>
      </c>
      <c r="O28" s="362">
        <v>237</v>
      </c>
      <c r="P28" s="362">
        <v>245</v>
      </c>
      <c r="Q28" s="362">
        <v>188</v>
      </c>
      <c r="R28" s="362"/>
      <c r="S28" s="362"/>
      <c r="T28" s="362">
        <v>79</v>
      </c>
      <c r="U28" s="362">
        <f t="shared" si="0"/>
        <v>3828</v>
      </c>
      <c r="W28" s="362">
        <v>4007</v>
      </c>
      <c r="X28" s="362">
        <f t="shared" si="1"/>
        <v>-179</v>
      </c>
    </row>
    <row r="29" spans="1:24" ht="12.75">
      <c r="A29" s="60">
        <v>22</v>
      </c>
      <c r="B29" s="359" t="s">
        <v>592</v>
      </c>
      <c r="C29" s="363">
        <v>13</v>
      </c>
      <c r="D29" s="362">
        <v>40</v>
      </c>
      <c r="E29" s="362">
        <v>291</v>
      </c>
      <c r="F29" s="362">
        <v>283</v>
      </c>
      <c r="G29" s="362">
        <v>292</v>
      </c>
      <c r="H29" s="362">
        <v>313</v>
      </c>
      <c r="I29" s="362">
        <v>303</v>
      </c>
      <c r="J29" s="362">
        <v>286</v>
      </c>
      <c r="K29" s="362">
        <v>283</v>
      </c>
      <c r="L29" s="362">
        <v>305</v>
      </c>
      <c r="M29" s="362">
        <v>269</v>
      </c>
      <c r="N29" s="362">
        <v>274</v>
      </c>
      <c r="O29" s="362">
        <v>230</v>
      </c>
      <c r="P29" s="362">
        <v>232</v>
      </c>
      <c r="Q29" s="362">
        <v>175</v>
      </c>
      <c r="R29" s="362"/>
      <c r="S29" s="362"/>
      <c r="T29" s="362"/>
      <c r="U29" s="362">
        <f t="shared" si="0"/>
        <v>3589</v>
      </c>
      <c r="W29" s="362">
        <v>3615</v>
      </c>
      <c r="X29" s="362">
        <f t="shared" si="1"/>
        <v>-26</v>
      </c>
    </row>
    <row r="30" spans="1:24" ht="12.75">
      <c r="A30" s="60">
        <v>23</v>
      </c>
      <c r="B30" s="359" t="s">
        <v>593</v>
      </c>
      <c r="C30" s="363">
        <v>55</v>
      </c>
      <c r="D30" s="362">
        <v>88</v>
      </c>
      <c r="E30" s="362">
        <v>1163</v>
      </c>
      <c r="F30" s="362">
        <v>1147</v>
      </c>
      <c r="G30" s="362">
        <v>1151</v>
      </c>
      <c r="H30" s="362">
        <v>1194</v>
      </c>
      <c r="I30" s="362">
        <v>1224</v>
      </c>
      <c r="J30" s="362">
        <v>998</v>
      </c>
      <c r="K30" s="362">
        <v>1080</v>
      </c>
      <c r="L30" s="362">
        <v>1175</v>
      </c>
      <c r="M30" s="362">
        <v>1226</v>
      </c>
      <c r="N30" s="362">
        <v>1051</v>
      </c>
      <c r="O30" s="362">
        <v>939</v>
      </c>
      <c r="P30" s="362">
        <v>775</v>
      </c>
      <c r="Q30" s="362">
        <v>805</v>
      </c>
      <c r="R30" s="362"/>
      <c r="S30" s="362"/>
      <c r="T30" s="362">
        <v>428</v>
      </c>
      <c r="U30" s="362">
        <f t="shared" si="0"/>
        <v>14499</v>
      </c>
      <c r="W30" s="362">
        <v>14662</v>
      </c>
      <c r="X30" s="362">
        <f t="shared" si="1"/>
        <v>-163</v>
      </c>
    </row>
    <row r="31" spans="1:24" ht="12.75">
      <c r="A31" s="60">
        <v>24</v>
      </c>
      <c r="B31" s="359" t="s">
        <v>594</v>
      </c>
      <c r="C31" s="363">
        <v>10</v>
      </c>
      <c r="D31" s="362">
        <v>25</v>
      </c>
      <c r="E31" s="362">
        <v>335</v>
      </c>
      <c r="F31" s="362">
        <v>447</v>
      </c>
      <c r="G31" s="362">
        <v>425</v>
      </c>
      <c r="H31" s="362">
        <v>381</v>
      </c>
      <c r="I31" s="362">
        <v>447</v>
      </c>
      <c r="J31" s="362">
        <v>326</v>
      </c>
      <c r="K31" s="362">
        <v>327</v>
      </c>
      <c r="L31" s="362">
        <v>438</v>
      </c>
      <c r="M31" s="362">
        <v>432</v>
      </c>
      <c r="N31" s="362">
        <v>375</v>
      </c>
      <c r="O31" s="362">
        <v>357</v>
      </c>
      <c r="P31" s="362">
        <v>255</v>
      </c>
      <c r="Q31" s="362">
        <v>300</v>
      </c>
      <c r="R31" s="362"/>
      <c r="S31" s="362"/>
      <c r="T31" s="362">
        <v>41</v>
      </c>
      <c r="U31" s="362">
        <f t="shared" si="0"/>
        <v>4921</v>
      </c>
      <c r="W31" s="362">
        <v>5070</v>
      </c>
      <c r="X31" s="362">
        <f t="shared" si="1"/>
        <v>-149</v>
      </c>
    </row>
    <row r="32" spans="1:24" ht="12.75">
      <c r="A32" s="83">
        <v>25</v>
      </c>
      <c r="B32" s="358" t="s">
        <v>595</v>
      </c>
      <c r="C32" s="364">
        <v>16</v>
      </c>
      <c r="D32" s="365">
        <v>11</v>
      </c>
      <c r="E32" s="365">
        <v>181</v>
      </c>
      <c r="F32" s="365">
        <v>186</v>
      </c>
      <c r="G32" s="365">
        <v>199</v>
      </c>
      <c r="H32" s="365">
        <v>194</v>
      </c>
      <c r="I32" s="365">
        <v>220</v>
      </c>
      <c r="J32" s="365">
        <v>201</v>
      </c>
      <c r="K32" s="365">
        <v>183</v>
      </c>
      <c r="L32" s="365">
        <v>215</v>
      </c>
      <c r="M32" s="365">
        <v>249</v>
      </c>
      <c r="N32" s="365">
        <v>172</v>
      </c>
      <c r="O32" s="365">
        <v>184</v>
      </c>
      <c r="P32" s="365">
        <v>171</v>
      </c>
      <c r="Q32" s="365">
        <v>145</v>
      </c>
      <c r="R32" s="365"/>
      <c r="S32" s="365"/>
      <c r="T32" s="365">
        <v>28</v>
      </c>
      <c r="U32" s="365">
        <f t="shared" si="0"/>
        <v>2555</v>
      </c>
      <c r="V32" s="310"/>
      <c r="W32" s="365">
        <v>2682</v>
      </c>
      <c r="X32" s="365">
        <f t="shared" si="1"/>
        <v>-127</v>
      </c>
    </row>
    <row r="33" spans="1:24" ht="12.75">
      <c r="A33" s="60">
        <v>26</v>
      </c>
      <c r="B33" s="359" t="s">
        <v>596</v>
      </c>
      <c r="C33" s="370" t="s">
        <v>636</v>
      </c>
      <c r="D33" s="362">
        <v>219</v>
      </c>
      <c r="E33" s="362">
        <v>3658</v>
      </c>
      <c r="F33" s="362">
        <v>4337</v>
      </c>
      <c r="G33" s="362">
        <v>4156</v>
      </c>
      <c r="H33" s="362">
        <v>4234</v>
      </c>
      <c r="I33" s="362">
        <v>4516</v>
      </c>
      <c r="J33" s="362">
        <v>3720</v>
      </c>
      <c r="K33" s="362">
        <v>4389</v>
      </c>
      <c r="L33" s="362">
        <v>4280</v>
      </c>
      <c r="M33" s="362">
        <v>4209</v>
      </c>
      <c r="N33" s="362">
        <v>3688</v>
      </c>
      <c r="O33" s="362">
        <v>3618</v>
      </c>
      <c r="P33" s="362">
        <v>2828</v>
      </c>
      <c r="Q33" s="362">
        <v>2473</v>
      </c>
      <c r="R33" s="362"/>
      <c r="S33" s="362"/>
      <c r="T33" s="362"/>
      <c r="U33" s="362">
        <f t="shared" si="0"/>
        <v>50325</v>
      </c>
      <c r="W33" s="362">
        <v>51310</v>
      </c>
      <c r="X33" s="362">
        <f t="shared" si="1"/>
        <v>-985</v>
      </c>
    </row>
    <row r="34" spans="1:24" ht="12.75">
      <c r="A34" s="60">
        <v>27</v>
      </c>
      <c r="B34" s="359" t="s">
        <v>597</v>
      </c>
      <c r="C34" s="363">
        <v>20</v>
      </c>
      <c r="D34" s="362">
        <v>47</v>
      </c>
      <c r="E34" s="362">
        <v>493</v>
      </c>
      <c r="F34" s="362">
        <v>471</v>
      </c>
      <c r="G34" s="362">
        <v>438</v>
      </c>
      <c r="H34" s="362">
        <v>453</v>
      </c>
      <c r="I34" s="362">
        <v>468</v>
      </c>
      <c r="J34" s="362">
        <v>430</v>
      </c>
      <c r="K34" s="362">
        <v>487</v>
      </c>
      <c r="L34" s="362">
        <v>473</v>
      </c>
      <c r="M34" s="362">
        <v>443</v>
      </c>
      <c r="N34" s="362">
        <v>441</v>
      </c>
      <c r="O34" s="362">
        <v>460</v>
      </c>
      <c r="P34" s="362">
        <v>352</v>
      </c>
      <c r="Q34" s="362">
        <v>361</v>
      </c>
      <c r="R34" s="362"/>
      <c r="S34" s="362"/>
      <c r="T34" s="362">
        <v>17</v>
      </c>
      <c r="U34" s="362">
        <f t="shared" si="0"/>
        <v>5854</v>
      </c>
      <c r="W34" s="362">
        <v>5957</v>
      </c>
      <c r="X34" s="362">
        <f t="shared" si="1"/>
        <v>-103</v>
      </c>
    </row>
    <row r="35" spans="1:24" ht="12.75">
      <c r="A35" s="60">
        <v>28</v>
      </c>
      <c r="B35" s="359" t="s">
        <v>598</v>
      </c>
      <c r="C35" s="363">
        <v>87</v>
      </c>
      <c r="D35" s="362">
        <v>296</v>
      </c>
      <c r="E35" s="362">
        <v>2213</v>
      </c>
      <c r="F35" s="362">
        <v>2276</v>
      </c>
      <c r="G35" s="362">
        <v>2186</v>
      </c>
      <c r="H35" s="362">
        <v>2168</v>
      </c>
      <c r="I35" s="362">
        <v>2566</v>
      </c>
      <c r="J35" s="362">
        <v>2178</v>
      </c>
      <c r="K35" s="362">
        <v>2577</v>
      </c>
      <c r="L35" s="362">
        <v>2299</v>
      </c>
      <c r="M35" s="362">
        <v>2339</v>
      </c>
      <c r="N35" s="362">
        <v>2454</v>
      </c>
      <c r="O35" s="362">
        <v>2063</v>
      </c>
      <c r="P35" s="362">
        <v>1852</v>
      </c>
      <c r="Q35" s="362">
        <v>1578</v>
      </c>
      <c r="R35" s="362"/>
      <c r="S35" s="362"/>
      <c r="T35" s="362"/>
      <c r="U35" s="362">
        <f t="shared" si="0"/>
        <v>29132</v>
      </c>
      <c r="W35" s="362">
        <v>29745</v>
      </c>
      <c r="X35" s="362">
        <f t="shared" si="1"/>
        <v>-613</v>
      </c>
    </row>
    <row r="36" spans="1:24" ht="12.75">
      <c r="A36" s="60">
        <v>29</v>
      </c>
      <c r="B36" s="359" t="s">
        <v>599</v>
      </c>
      <c r="C36" s="363">
        <v>95</v>
      </c>
      <c r="D36" s="362">
        <v>121</v>
      </c>
      <c r="E36" s="362">
        <v>997</v>
      </c>
      <c r="F36" s="362">
        <v>1135</v>
      </c>
      <c r="G36" s="362">
        <v>1195</v>
      </c>
      <c r="H36" s="362">
        <v>1259</v>
      </c>
      <c r="I36" s="362">
        <v>1343</v>
      </c>
      <c r="J36" s="362">
        <v>1082</v>
      </c>
      <c r="K36" s="362">
        <v>1138</v>
      </c>
      <c r="L36" s="362">
        <v>1185</v>
      </c>
      <c r="M36" s="362">
        <v>1414</v>
      </c>
      <c r="N36" s="362">
        <v>1235</v>
      </c>
      <c r="O36" s="362">
        <v>951</v>
      </c>
      <c r="P36" s="362">
        <v>1026</v>
      </c>
      <c r="Q36" s="362">
        <v>966</v>
      </c>
      <c r="R36" s="362"/>
      <c r="S36" s="362"/>
      <c r="T36" s="362"/>
      <c r="U36" s="362">
        <f t="shared" si="0"/>
        <v>15142</v>
      </c>
      <c r="W36" s="362">
        <v>15348</v>
      </c>
      <c r="X36" s="362">
        <f t="shared" si="1"/>
        <v>-206</v>
      </c>
    </row>
    <row r="37" spans="1:24" ht="12.75">
      <c r="A37" s="83">
        <v>30</v>
      </c>
      <c r="B37" s="358" t="s">
        <v>600</v>
      </c>
      <c r="C37" s="371" t="s">
        <v>636</v>
      </c>
      <c r="D37" s="365">
        <v>10</v>
      </c>
      <c r="E37" s="365">
        <v>153</v>
      </c>
      <c r="F37" s="365">
        <v>187</v>
      </c>
      <c r="G37" s="365">
        <v>208</v>
      </c>
      <c r="H37" s="365">
        <v>197</v>
      </c>
      <c r="I37" s="365">
        <v>215</v>
      </c>
      <c r="J37" s="365">
        <v>200</v>
      </c>
      <c r="K37" s="365">
        <v>196</v>
      </c>
      <c r="L37" s="365">
        <v>218</v>
      </c>
      <c r="M37" s="365">
        <v>213</v>
      </c>
      <c r="N37" s="365">
        <v>219</v>
      </c>
      <c r="O37" s="365">
        <v>201</v>
      </c>
      <c r="P37" s="365">
        <v>177</v>
      </c>
      <c r="Q37" s="365">
        <v>167</v>
      </c>
      <c r="R37" s="365"/>
      <c r="S37" s="365"/>
      <c r="T37" s="365">
        <v>39</v>
      </c>
      <c r="U37" s="365">
        <f t="shared" si="0"/>
        <v>2600</v>
      </c>
      <c r="V37" s="310"/>
      <c r="W37" s="365">
        <v>2610</v>
      </c>
      <c r="X37" s="365">
        <f t="shared" si="1"/>
        <v>-10</v>
      </c>
    </row>
    <row r="38" spans="1:24" ht="12.75">
      <c r="A38" s="60">
        <v>31</v>
      </c>
      <c r="B38" s="359" t="s">
        <v>601</v>
      </c>
      <c r="C38" s="370" t="s">
        <v>636</v>
      </c>
      <c r="D38" s="362">
        <v>38</v>
      </c>
      <c r="E38" s="362">
        <v>530</v>
      </c>
      <c r="F38" s="362">
        <v>572</v>
      </c>
      <c r="G38" s="362">
        <v>477</v>
      </c>
      <c r="H38" s="362">
        <v>533</v>
      </c>
      <c r="I38" s="362">
        <v>509</v>
      </c>
      <c r="J38" s="362">
        <v>442</v>
      </c>
      <c r="K38" s="362">
        <v>514</v>
      </c>
      <c r="L38" s="362">
        <v>559</v>
      </c>
      <c r="M38" s="362">
        <v>533</v>
      </c>
      <c r="N38" s="362">
        <v>509</v>
      </c>
      <c r="O38" s="362">
        <v>510</v>
      </c>
      <c r="P38" s="362">
        <v>451</v>
      </c>
      <c r="Q38" s="362">
        <v>413</v>
      </c>
      <c r="R38" s="362"/>
      <c r="S38" s="362"/>
      <c r="T38" s="362">
        <v>53</v>
      </c>
      <c r="U38" s="362">
        <f t="shared" si="0"/>
        <v>6643</v>
      </c>
      <c r="W38" s="362">
        <v>6745</v>
      </c>
      <c r="X38" s="362">
        <f t="shared" si="1"/>
        <v>-102</v>
      </c>
    </row>
    <row r="39" spans="1:24" ht="12.75">
      <c r="A39" s="60">
        <v>32</v>
      </c>
      <c r="B39" s="359" t="s">
        <v>602</v>
      </c>
      <c r="C39" s="370" t="s">
        <v>636</v>
      </c>
      <c r="D39" s="362">
        <v>68</v>
      </c>
      <c r="E39" s="362">
        <v>1515</v>
      </c>
      <c r="F39" s="362">
        <v>1684</v>
      </c>
      <c r="G39" s="362">
        <v>1587</v>
      </c>
      <c r="H39" s="362">
        <v>1636</v>
      </c>
      <c r="I39" s="362">
        <v>1616</v>
      </c>
      <c r="J39" s="362">
        <v>1501</v>
      </c>
      <c r="K39" s="362">
        <v>1616</v>
      </c>
      <c r="L39" s="362">
        <v>1591</v>
      </c>
      <c r="M39" s="362">
        <v>1598</v>
      </c>
      <c r="N39" s="362">
        <v>1573</v>
      </c>
      <c r="O39" s="362">
        <v>1452</v>
      </c>
      <c r="P39" s="362">
        <v>1265</v>
      </c>
      <c r="Q39" s="362">
        <v>1037</v>
      </c>
      <c r="R39" s="362"/>
      <c r="S39" s="362"/>
      <c r="T39" s="362"/>
      <c r="U39" s="362">
        <f t="shared" si="0"/>
        <v>19739</v>
      </c>
      <c r="W39" s="362">
        <v>19421</v>
      </c>
      <c r="X39" s="362">
        <f t="shared" si="1"/>
        <v>318</v>
      </c>
    </row>
    <row r="40" spans="1:24" ht="12.75">
      <c r="A40" s="60">
        <v>33</v>
      </c>
      <c r="B40" s="359" t="s">
        <v>603</v>
      </c>
      <c r="C40" s="363">
        <v>10</v>
      </c>
      <c r="D40" s="362">
        <v>14</v>
      </c>
      <c r="E40" s="362">
        <v>219</v>
      </c>
      <c r="F40" s="362">
        <v>256</v>
      </c>
      <c r="G40" s="362">
        <v>203</v>
      </c>
      <c r="H40" s="362">
        <v>191</v>
      </c>
      <c r="I40" s="362">
        <v>228</v>
      </c>
      <c r="J40" s="362">
        <v>152</v>
      </c>
      <c r="K40" s="362">
        <v>187</v>
      </c>
      <c r="L40" s="362">
        <v>220</v>
      </c>
      <c r="M40" s="362">
        <v>240</v>
      </c>
      <c r="N40" s="362">
        <v>119</v>
      </c>
      <c r="O40" s="362">
        <v>150</v>
      </c>
      <c r="P40" s="362">
        <v>135</v>
      </c>
      <c r="Q40" s="362">
        <v>127</v>
      </c>
      <c r="R40" s="362"/>
      <c r="S40" s="362"/>
      <c r="T40" s="362">
        <v>38</v>
      </c>
      <c r="U40" s="362">
        <f t="shared" si="0"/>
        <v>2489</v>
      </c>
      <c r="W40" s="362">
        <v>2547</v>
      </c>
      <c r="X40" s="362">
        <f t="shared" si="1"/>
        <v>-58</v>
      </c>
    </row>
    <row r="41" spans="1:24" ht="12.75">
      <c r="A41" s="60">
        <v>34</v>
      </c>
      <c r="B41" s="359" t="s">
        <v>604</v>
      </c>
      <c r="C41" s="363">
        <v>36</v>
      </c>
      <c r="D41" s="362">
        <v>74</v>
      </c>
      <c r="E41" s="362">
        <v>468</v>
      </c>
      <c r="F41" s="362">
        <v>517</v>
      </c>
      <c r="G41" s="362">
        <v>508</v>
      </c>
      <c r="H41" s="362">
        <v>423</v>
      </c>
      <c r="I41" s="362">
        <v>448</v>
      </c>
      <c r="J41" s="362">
        <v>390</v>
      </c>
      <c r="K41" s="362">
        <v>384</v>
      </c>
      <c r="L41" s="362">
        <v>487</v>
      </c>
      <c r="M41" s="362">
        <v>379</v>
      </c>
      <c r="N41" s="362">
        <v>292</v>
      </c>
      <c r="O41" s="362">
        <v>315</v>
      </c>
      <c r="P41" s="362">
        <v>243</v>
      </c>
      <c r="Q41" s="362">
        <v>262</v>
      </c>
      <c r="R41" s="362"/>
      <c r="S41" s="362"/>
      <c r="T41" s="362">
        <v>82</v>
      </c>
      <c r="U41" s="362">
        <f t="shared" si="0"/>
        <v>5308</v>
      </c>
      <c r="W41" s="362">
        <v>5421</v>
      </c>
      <c r="X41" s="362">
        <f t="shared" si="1"/>
        <v>-113</v>
      </c>
    </row>
    <row r="42" spans="1:24" ht="12.75">
      <c r="A42" s="83">
        <v>35</v>
      </c>
      <c r="B42" s="358" t="s">
        <v>605</v>
      </c>
      <c r="C42" s="364">
        <v>27</v>
      </c>
      <c r="D42" s="365">
        <v>57</v>
      </c>
      <c r="E42" s="365">
        <v>582</v>
      </c>
      <c r="F42" s="365">
        <v>569</v>
      </c>
      <c r="G42" s="365">
        <v>524</v>
      </c>
      <c r="H42" s="365">
        <v>500</v>
      </c>
      <c r="I42" s="365">
        <v>690</v>
      </c>
      <c r="J42" s="365">
        <v>360</v>
      </c>
      <c r="K42" s="365">
        <v>537</v>
      </c>
      <c r="L42" s="365">
        <v>568</v>
      </c>
      <c r="M42" s="365">
        <v>626</v>
      </c>
      <c r="N42" s="365">
        <v>532</v>
      </c>
      <c r="O42" s="365">
        <v>371</v>
      </c>
      <c r="P42" s="365">
        <v>427</v>
      </c>
      <c r="Q42" s="365">
        <v>347</v>
      </c>
      <c r="R42" s="365"/>
      <c r="S42" s="365"/>
      <c r="T42" s="365">
        <v>64</v>
      </c>
      <c r="U42" s="365">
        <f t="shared" si="0"/>
        <v>6781</v>
      </c>
      <c r="V42" s="310"/>
      <c r="W42" s="365">
        <v>6823</v>
      </c>
      <c r="X42" s="365">
        <f t="shared" si="1"/>
        <v>-42</v>
      </c>
    </row>
    <row r="43" spans="1:24" ht="12.75">
      <c r="A43" s="60">
        <v>36</v>
      </c>
      <c r="B43" s="359" t="s">
        <v>606</v>
      </c>
      <c r="C43" s="370" t="s">
        <v>636</v>
      </c>
      <c r="D43" s="362">
        <v>285</v>
      </c>
      <c r="E43" s="362">
        <v>5083</v>
      </c>
      <c r="F43" s="362">
        <v>6691</v>
      </c>
      <c r="G43" s="362">
        <v>6830</v>
      </c>
      <c r="H43" s="362">
        <v>6510</v>
      </c>
      <c r="I43" s="362">
        <v>8097</v>
      </c>
      <c r="J43" s="362">
        <v>3910</v>
      </c>
      <c r="K43" s="362">
        <v>5939</v>
      </c>
      <c r="L43" s="362">
        <v>5961</v>
      </c>
      <c r="M43" s="362">
        <v>7794</v>
      </c>
      <c r="N43" s="362">
        <v>3942</v>
      </c>
      <c r="O43" s="362">
        <v>5461</v>
      </c>
      <c r="P43" s="362">
        <v>4839</v>
      </c>
      <c r="Q43" s="362">
        <v>4401</v>
      </c>
      <c r="R43" s="362"/>
      <c r="S43" s="362"/>
      <c r="T43" s="362"/>
      <c r="U43" s="362">
        <f t="shared" si="0"/>
        <v>75743</v>
      </c>
      <c r="W43" s="362">
        <v>77665</v>
      </c>
      <c r="X43" s="362">
        <f t="shared" si="1"/>
        <v>-1922</v>
      </c>
    </row>
    <row r="44" spans="1:24" ht="12.75">
      <c r="A44" s="60">
        <v>37</v>
      </c>
      <c r="B44" s="359" t="s">
        <v>607</v>
      </c>
      <c r="C44" s="363">
        <v>77</v>
      </c>
      <c r="D44" s="362">
        <v>98</v>
      </c>
      <c r="E44" s="362">
        <v>1360</v>
      </c>
      <c r="F44" s="362">
        <v>1334</v>
      </c>
      <c r="G44" s="362">
        <v>1330</v>
      </c>
      <c r="H44" s="362">
        <v>1354</v>
      </c>
      <c r="I44" s="362">
        <v>1351</v>
      </c>
      <c r="J44" s="362">
        <v>1332</v>
      </c>
      <c r="K44" s="362">
        <v>1407</v>
      </c>
      <c r="L44" s="362">
        <v>1486</v>
      </c>
      <c r="M44" s="362">
        <v>1456</v>
      </c>
      <c r="N44" s="362">
        <v>1375</v>
      </c>
      <c r="O44" s="362">
        <v>1314</v>
      </c>
      <c r="P44" s="362">
        <v>1054</v>
      </c>
      <c r="Q44" s="362">
        <v>938</v>
      </c>
      <c r="R44" s="362"/>
      <c r="S44" s="362"/>
      <c r="T44" s="362">
        <v>99</v>
      </c>
      <c r="U44" s="362">
        <f t="shared" si="0"/>
        <v>17365</v>
      </c>
      <c r="W44" s="362">
        <v>17128</v>
      </c>
      <c r="X44" s="362">
        <f t="shared" si="1"/>
        <v>237</v>
      </c>
    </row>
    <row r="45" spans="1:24" ht="12.75">
      <c r="A45" s="60">
        <v>38</v>
      </c>
      <c r="B45" s="359" t="s">
        <v>608</v>
      </c>
      <c r="C45" s="370" t="s">
        <v>636</v>
      </c>
      <c r="D45" s="362">
        <v>11</v>
      </c>
      <c r="E45" s="362">
        <v>381</v>
      </c>
      <c r="F45" s="362">
        <v>365</v>
      </c>
      <c r="G45" s="362">
        <v>355</v>
      </c>
      <c r="H45" s="362">
        <v>363</v>
      </c>
      <c r="I45" s="362">
        <v>383</v>
      </c>
      <c r="J45" s="362">
        <v>344</v>
      </c>
      <c r="K45" s="362">
        <v>341</v>
      </c>
      <c r="L45" s="362">
        <v>361</v>
      </c>
      <c r="M45" s="362">
        <v>374</v>
      </c>
      <c r="N45" s="362">
        <v>354</v>
      </c>
      <c r="O45" s="362">
        <v>395</v>
      </c>
      <c r="P45" s="362">
        <v>358</v>
      </c>
      <c r="Q45" s="362">
        <v>258</v>
      </c>
      <c r="R45" s="362"/>
      <c r="S45" s="362"/>
      <c r="T45" s="362">
        <v>129</v>
      </c>
      <c r="U45" s="362">
        <f t="shared" si="0"/>
        <v>4772</v>
      </c>
      <c r="W45" s="362">
        <v>4775</v>
      </c>
      <c r="X45" s="362">
        <f t="shared" si="1"/>
        <v>-3</v>
      </c>
    </row>
    <row r="46" spans="1:24" ht="12.75">
      <c r="A46" s="60">
        <v>39</v>
      </c>
      <c r="B46" s="359" t="s">
        <v>609</v>
      </c>
      <c r="C46" s="370" t="s">
        <v>636</v>
      </c>
      <c r="D46" s="362">
        <v>20</v>
      </c>
      <c r="E46" s="362">
        <v>256</v>
      </c>
      <c r="F46" s="362">
        <v>270</v>
      </c>
      <c r="G46" s="362">
        <v>271</v>
      </c>
      <c r="H46" s="362">
        <v>263</v>
      </c>
      <c r="I46" s="362">
        <v>280</v>
      </c>
      <c r="J46" s="362">
        <v>185</v>
      </c>
      <c r="K46" s="362">
        <v>264</v>
      </c>
      <c r="L46" s="362">
        <v>265</v>
      </c>
      <c r="M46" s="362">
        <v>315</v>
      </c>
      <c r="N46" s="362">
        <v>206</v>
      </c>
      <c r="O46" s="362">
        <v>228</v>
      </c>
      <c r="P46" s="362">
        <v>196</v>
      </c>
      <c r="Q46" s="362">
        <v>207</v>
      </c>
      <c r="R46" s="362"/>
      <c r="S46" s="362"/>
      <c r="T46" s="362">
        <v>99</v>
      </c>
      <c r="U46" s="362">
        <f t="shared" si="0"/>
        <v>3325</v>
      </c>
      <c r="W46" s="362">
        <v>3346</v>
      </c>
      <c r="X46" s="362">
        <f t="shared" si="1"/>
        <v>-21</v>
      </c>
    </row>
    <row r="47" spans="1:24" ht="12.75">
      <c r="A47" s="83">
        <v>40</v>
      </c>
      <c r="B47" s="358" t="s">
        <v>610</v>
      </c>
      <c r="C47" s="364">
        <v>79</v>
      </c>
      <c r="D47" s="365">
        <v>179</v>
      </c>
      <c r="E47" s="365">
        <v>1903</v>
      </c>
      <c r="F47" s="365">
        <v>1982</v>
      </c>
      <c r="G47" s="365">
        <v>1789</v>
      </c>
      <c r="H47" s="365">
        <v>1762</v>
      </c>
      <c r="I47" s="365">
        <v>1895</v>
      </c>
      <c r="J47" s="365">
        <v>1473</v>
      </c>
      <c r="K47" s="365">
        <v>1608</v>
      </c>
      <c r="L47" s="365">
        <v>1820</v>
      </c>
      <c r="M47" s="365">
        <v>1914</v>
      </c>
      <c r="N47" s="365">
        <v>1772</v>
      </c>
      <c r="O47" s="365">
        <v>1885</v>
      </c>
      <c r="P47" s="365">
        <v>1646</v>
      </c>
      <c r="Q47" s="365">
        <v>1404</v>
      </c>
      <c r="R47" s="365"/>
      <c r="S47" s="365"/>
      <c r="T47" s="365">
        <v>22</v>
      </c>
      <c r="U47" s="365">
        <f t="shared" si="0"/>
        <v>23133</v>
      </c>
      <c r="V47" s="310"/>
      <c r="W47" s="365">
        <v>23505</v>
      </c>
      <c r="X47" s="365">
        <f t="shared" si="1"/>
        <v>-372</v>
      </c>
    </row>
    <row r="48" spans="1:24" ht="12.75">
      <c r="A48" s="60">
        <v>41</v>
      </c>
      <c r="B48" s="359" t="s">
        <v>611</v>
      </c>
      <c r="C48" s="370" t="s">
        <v>636</v>
      </c>
      <c r="D48" s="362">
        <v>6</v>
      </c>
      <c r="E48" s="362">
        <v>135</v>
      </c>
      <c r="F48" s="362">
        <v>140</v>
      </c>
      <c r="G48" s="362">
        <v>168</v>
      </c>
      <c r="H48" s="362">
        <v>140</v>
      </c>
      <c r="I48" s="362">
        <v>150</v>
      </c>
      <c r="J48" s="362">
        <v>112</v>
      </c>
      <c r="K48" s="362">
        <v>124</v>
      </c>
      <c r="L48" s="362">
        <v>150</v>
      </c>
      <c r="M48" s="362">
        <v>155</v>
      </c>
      <c r="N48" s="362">
        <v>182</v>
      </c>
      <c r="O48" s="362">
        <v>134</v>
      </c>
      <c r="P48" s="362">
        <v>109</v>
      </c>
      <c r="Q48" s="362">
        <v>97</v>
      </c>
      <c r="R48" s="362"/>
      <c r="S48" s="362"/>
      <c r="T48" s="362">
        <v>16</v>
      </c>
      <c r="U48" s="362">
        <f t="shared" si="0"/>
        <v>1818</v>
      </c>
      <c r="W48" s="362">
        <v>1869</v>
      </c>
      <c r="X48" s="362">
        <f t="shared" si="1"/>
        <v>-51</v>
      </c>
    </row>
    <row r="49" spans="1:24" ht="12.75">
      <c r="A49" s="60">
        <v>42</v>
      </c>
      <c r="B49" s="359" t="s">
        <v>612</v>
      </c>
      <c r="C49" s="363">
        <v>13</v>
      </c>
      <c r="D49" s="362">
        <v>73</v>
      </c>
      <c r="E49" s="362">
        <v>298</v>
      </c>
      <c r="F49" s="362">
        <v>295</v>
      </c>
      <c r="G49" s="362">
        <v>300</v>
      </c>
      <c r="H49" s="362">
        <v>316</v>
      </c>
      <c r="I49" s="362">
        <v>370</v>
      </c>
      <c r="J49" s="362">
        <v>270</v>
      </c>
      <c r="K49" s="362">
        <v>310</v>
      </c>
      <c r="L49" s="362">
        <v>289</v>
      </c>
      <c r="M49" s="362">
        <v>264</v>
      </c>
      <c r="N49" s="362">
        <v>310</v>
      </c>
      <c r="O49" s="362">
        <v>206</v>
      </c>
      <c r="P49" s="362">
        <v>215</v>
      </c>
      <c r="Q49" s="362">
        <v>180</v>
      </c>
      <c r="R49" s="362"/>
      <c r="S49" s="362"/>
      <c r="T49" s="362">
        <v>51</v>
      </c>
      <c r="U49" s="362">
        <f t="shared" si="0"/>
        <v>3760</v>
      </c>
      <c r="W49" s="362">
        <v>3807</v>
      </c>
      <c r="X49" s="362">
        <f t="shared" si="1"/>
        <v>-47</v>
      </c>
    </row>
    <row r="50" spans="1:24" ht="12.75">
      <c r="A50" s="60">
        <v>43</v>
      </c>
      <c r="B50" s="359" t="s">
        <v>613</v>
      </c>
      <c r="C50" s="363">
        <v>21</v>
      </c>
      <c r="D50" s="362">
        <v>31</v>
      </c>
      <c r="E50" s="362">
        <v>281</v>
      </c>
      <c r="F50" s="362">
        <v>298</v>
      </c>
      <c r="G50" s="362">
        <v>284</v>
      </c>
      <c r="H50" s="362">
        <v>346</v>
      </c>
      <c r="I50" s="362">
        <v>384</v>
      </c>
      <c r="J50" s="362">
        <v>313</v>
      </c>
      <c r="K50" s="362">
        <v>336</v>
      </c>
      <c r="L50" s="362">
        <v>347</v>
      </c>
      <c r="M50" s="362">
        <v>349</v>
      </c>
      <c r="N50" s="362">
        <v>357</v>
      </c>
      <c r="O50" s="362">
        <v>326</v>
      </c>
      <c r="P50" s="362">
        <v>297</v>
      </c>
      <c r="Q50" s="362">
        <v>212</v>
      </c>
      <c r="R50" s="362"/>
      <c r="S50" s="362"/>
      <c r="T50" s="362">
        <v>75</v>
      </c>
      <c r="U50" s="362">
        <f t="shared" si="0"/>
        <v>4257</v>
      </c>
      <c r="W50" s="362">
        <v>4358</v>
      </c>
      <c r="X50" s="362">
        <f t="shared" si="1"/>
        <v>-101</v>
      </c>
    </row>
    <row r="51" spans="1:24" ht="12.75">
      <c r="A51" s="60">
        <v>44</v>
      </c>
      <c r="B51" s="359" t="s">
        <v>614</v>
      </c>
      <c r="C51" s="370" t="s">
        <v>636</v>
      </c>
      <c r="D51" s="362">
        <v>52</v>
      </c>
      <c r="E51" s="362">
        <v>600</v>
      </c>
      <c r="F51" s="362">
        <v>659</v>
      </c>
      <c r="G51" s="362">
        <v>697</v>
      </c>
      <c r="H51" s="362">
        <v>674</v>
      </c>
      <c r="I51" s="362">
        <v>719</v>
      </c>
      <c r="J51" s="362">
        <v>650</v>
      </c>
      <c r="K51" s="362">
        <v>748</v>
      </c>
      <c r="L51" s="362">
        <v>703</v>
      </c>
      <c r="M51" s="362">
        <v>685</v>
      </c>
      <c r="N51" s="362">
        <v>657</v>
      </c>
      <c r="O51" s="362">
        <v>595</v>
      </c>
      <c r="P51" s="362">
        <v>468</v>
      </c>
      <c r="Q51" s="362">
        <v>504</v>
      </c>
      <c r="R51" s="362"/>
      <c r="S51" s="362"/>
      <c r="T51" s="362">
        <v>36</v>
      </c>
      <c r="U51" s="362">
        <f t="shared" si="0"/>
        <v>8447</v>
      </c>
      <c r="W51" s="362">
        <v>8633</v>
      </c>
      <c r="X51" s="362">
        <f t="shared" si="1"/>
        <v>-186</v>
      </c>
    </row>
    <row r="52" spans="1:24" ht="12.75">
      <c r="A52" s="83">
        <v>45</v>
      </c>
      <c r="B52" s="358" t="s">
        <v>615</v>
      </c>
      <c r="C52" s="364">
        <v>44</v>
      </c>
      <c r="D52" s="365">
        <v>46</v>
      </c>
      <c r="E52" s="365">
        <v>766</v>
      </c>
      <c r="F52" s="365">
        <v>772</v>
      </c>
      <c r="G52" s="365">
        <v>733</v>
      </c>
      <c r="H52" s="365">
        <v>684</v>
      </c>
      <c r="I52" s="365">
        <v>818</v>
      </c>
      <c r="J52" s="365">
        <v>741</v>
      </c>
      <c r="K52" s="365">
        <v>675</v>
      </c>
      <c r="L52" s="365">
        <v>740</v>
      </c>
      <c r="M52" s="365">
        <v>790</v>
      </c>
      <c r="N52" s="365">
        <v>890</v>
      </c>
      <c r="O52" s="365">
        <v>676</v>
      </c>
      <c r="P52" s="365">
        <v>652</v>
      </c>
      <c r="Q52" s="365">
        <v>651</v>
      </c>
      <c r="R52" s="365"/>
      <c r="S52" s="365"/>
      <c r="T52" s="365">
        <v>1</v>
      </c>
      <c r="U52" s="365">
        <f t="shared" si="0"/>
        <v>9679</v>
      </c>
      <c r="V52" s="310"/>
      <c r="W52" s="365">
        <v>9751</v>
      </c>
      <c r="X52" s="365">
        <f t="shared" si="1"/>
        <v>-72</v>
      </c>
    </row>
    <row r="53" spans="1:24" ht="12.75">
      <c r="A53" s="60">
        <v>46</v>
      </c>
      <c r="B53" s="359" t="s">
        <v>616</v>
      </c>
      <c r="C53" s="370" t="s">
        <v>636</v>
      </c>
      <c r="D53" s="362">
        <v>5</v>
      </c>
      <c r="E53" s="362">
        <v>131</v>
      </c>
      <c r="F53" s="362">
        <v>130</v>
      </c>
      <c r="G53" s="362">
        <v>111</v>
      </c>
      <c r="H53" s="362">
        <v>102</v>
      </c>
      <c r="I53" s="362">
        <v>144</v>
      </c>
      <c r="J53" s="362">
        <v>82</v>
      </c>
      <c r="K53" s="362">
        <v>97</v>
      </c>
      <c r="L53" s="362">
        <v>122</v>
      </c>
      <c r="M53" s="362">
        <v>126</v>
      </c>
      <c r="N53" s="362">
        <v>127</v>
      </c>
      <c r="O53" s="362">
        <v>91</v>
      </c>
      <c r="P53" s="362">
        <v>63</v>
      </c>
      <c r="Q53" s="362">
        <v>74</v>
      </c>
      <c r="R53" s="362"/>
      <c r="S53" s="362"/>
      <c r="T53" s="362"/>
      <c r="U53" s="362">
        <f t="shared" si="0"/>
        <v>1405</v>
      </c>
      <c r="W53" s="362">
        <v>1478</v>
      </c>
      <c r="X53" s="362">
        <f t="shared" si="1"/>
        <v>-73</v>
      </c>
    </row>
    <row r="54" spans="1:24" ht="12.75">
      <c r="A54" s="60">
        <v>47</v>
      </c>
      <c r="B54" s="359" t="s">
        <v>617</v>
      </c>
      <c r="C54" s="363">
        <v>16</v>
      </c>
      <c r="D54" s="362">
        <v>49</v>
      </c>
      <c r="E54" s="362">
        <v>270</v>
      </c>
      <c r="F54" s="362">
        <v>343</v>
      </c>
      <c r="G54" s="362">
        <v>292</v>
      </c>
      <c r="H54" s="362">
        <v>290</v>
      </c>
      <c r="I54" s="362">
        <v>343</v>
      </c>
      <c r="J54" s="362">
        <v>240</v>
      </c>
      <c r="K54" s="362">
        <v>312</v>
      </c>
      <c r="L54" s="362">
        <v>312</v>
      </c>
      <c r="M54" s="362">
        <v>321</v>
      </c>
      <c r="N54" s="362">
        <v>219</v>
      </c>
      <c r="O54" s="362">
        <v>324</v>
      </c>
      <c r="P54" s="362">
        <v>279</v>
      </c>
      <c r="Q54" s="362">
        <v>240</v>
      </c>
      <c r="R54" s="362"/>
      <c r="S54" s="362"/>
      <c r="T54" s="362">
        <v>16</v>
      </c>
      <c r="U54" s="362">
        <f t="shared" si="0"/>
        <v>3866</v>
      </c>
      <c r="W54" s="362">
        <v>3964</v>
      </c>
      <c r="X54" s="362">
        <f t="shared" si="1"/>
        <v>-98</v>
      </c>
    </row>
    <row r="55" spans="1:24" ht="12.75">
      <c r="A55" s="60">
        <v>48</v>
      </c>
      <c r="B55" s="359" t="s">
        <v>618</v>
      </c>
      <c r="C55" s="363">
        <v>50</v>
      </c>
      <c r="D55" s="362">
        <v>61</v>
      </c>
      <c r="E55" s="362">
        <v>486</v>
      </c>
      <c r="F55" s="362">
        <v>548</v>
      </c>
      <c r="G55" s="362">
        <v>523</v>
      </c>
      <c r="H55" s="362">
        <v>515</v>
      </c>
      <c r="I55" s="362">
        <v>580</v>
      </c>
      <c r="J55" s="362">
        <v>492</v>
      </c>
      <c r="K55" s="362">
        <v>503</v>
      </c>
      <c r="L55" s="362">
        <v>491</v>
      </c>
      <c r="M55" s="362">
        <v>526</v>
      </c>
      <c r="N55" s="362">
        <v>477</v>
      </c>
      <c r="O55" s="362">
        <v>399</v>
      </c>
      <c r="P55" s="362">
        <v>340</v>
      </c>
      <c r="Q55" s="362">
        <v>372</v>
      </c>
      <c r="R55" s="362"/>
      <c r="S55" s="362"/>
      <c r="T55" s="362"/>
      <c r="U55" s="362">
        <f t="shared" si="0"/>
        <v>6363</v>
      </c>
      <c r="W55" s="362">
        <v>6401</v>
      </c>
      <c r="X55" s="362">
        <f t="shared" si="1"/>
        <v>-38</v>
      </c>
    </row>
    <row r="56" spans="1:24" ht="12.75">
      <c r="A56" s="60">
        <v>49</v>
      </c>
      <c r="B56" s="359" t="s">
        <v>619</v>
      </c>
      <c r="C56" s="363">
        <v>90</v>
      </c>
      <c r="D56" s="362">
        <v>156</v>
      </c>
      <c r="E56" s="362">
        <v>1200</v>
      </c>
      <c r="F56" s="362">
        <v>1226</v>
      </c>
      <c r="G56" s="362">
        <v>1233</v>
      </c>
      <c r="H56" s="362">
        <v>1270</v>
      </c>
      <c r="I56" s="362">
        <v>1272</v>
      </c>
      <c r="J56" s="362">
        <v>1169</v>
      </c>
      <c r="K56" s="362">
        <v>1212</v>
      </c>
      <c r="L56" s="362">
        <v>1258</v>
      </c>
      <c r="M56" s="362">
        <v>1251</v>
      </c>
      <c r="N56" s="362">
        <v>1092</v>
      </c>
      <c r="O56" s="362">
        <v>1054</v>
      </c>
      <c r="P56" s="362">
        <v>913</v>
      </c>
      <c r="Q56" s="362">
        <v>805</v>
      </c>
      <c r="R56" s="362"/>
      <c r="S56" s="362"/>
      <c r="T56" s="362">
        <v>262</v>
      </c>
      <c r="U56" s="362">
        <f t="shared" si="0"/>
        <v>15463</v>
      </c>
      <c r="W56" s="362">
        <v>15736</v>
      </c>
      <c r="X56" s="362">
        <f t="shared" si="1"/>
        <v>-273</v>
      </c>
    </row>
    <row r="57" spans="1:24" ht="12.75">
      <c r="A57" s="83">
        <v>50</v>
      </c>
      <c r="B57" s="358" t="s">
        <v>620</v>
      </c>
      <c r="C57" s="364">
        <v>53</v>
      </c>
      <c r="D57" s="365">
        <v>57</v>
      </c>
      <c r="E57" s="365">
        <v>644</v>
      </c>
      <c r="F57" s="365">
        <v>661</v>
      </c>
      <c r="G57" s="365">
        <v>639</v>
      </c>
      <c r="H57" s="365">
        <v>687</v>
      </c>
      <c r="I57" s="365">
        <v>746</v>
      </c>
      <c r="J57" s="365">
        <v>548</v>
      </c>
      <c r="K57" s="365">
        <v>665</v>
      </c>
      <c r="L57" s="365">
        <v>708</v>
      </c>
      <c r="M57" s="365">
        <v>672</v>
      </c>
      <c r="N57" s="365">
        <v>611</v>
      </c>
      <c r="O57" s="365">
        <v>646</v>
      </c>
      <c r="P57" s="365">
        <v>577</v>
      </c>
      <c r="Q57" s="365">
        <v>402</v>
      </c>
      <c r="R57" s="365"/>
      <c r="S57" s="365"/>
      <c r="T57" s="365">
        <v>242</v>
      </c>
      <c r="U57" s="365">
        <f t="shared" si="0"/>
        <v>8558</v>
      </c>
      <c r="V57" s="310"/>
      <c r="W57" s="365">
        <v>8559</v>
      </c>
      <c r="X57" s="365">
        <f t="shared" si="1"/>
        <v>-1</v>
      </c>
    </row>
    <row r="58" spans="1:24" ht="12.75">
      <c r="A58" s="60">
        <v>51</v>
      </c>
      <c r="B58" s="359" t="s">
        <v>621</v>
      </c>
      <c r="C58" s="363">
        <v>27</v>
      </c>
      <c r="D58" s="362">
        <v>83</v>
      </c>
      <c r="E58" s="362">
        <v>721</v>
      </c>
      <c r="F58" s="362">
        <v>813</v>
      </c>
      <c r="G58" s="362">
        <v>831</v>
      </c>
      <c r="H58" s="362">
        <v>880</v>
      </c>
      <c r="I58" s="362">
        <v>902</v>
      </c>
      <c r="J58" s="362">
        <v>732</v>
      </c>
      <c r="K58" s="362">
        <v>888</v>
      </c>
      <c r="L58" s="362">
        <v>887</v>
      </c>
      <c r="M58" s="362">
        <v>891</v>
      </c>
      <c r="N58" s="362">
        <v>824</v>
      </c>
      <c r="O58" s="362">
        <v>727</v>
      </c>
      <c r="P58" s="362">
        <v>711</v>
      </c>
      <c r="Q58" s="362">
        <v>619</v>
      </c>
      <c r="R58" s="362"/>
      <c r="S58" s="362"/>
      <c r="T58" s="362"/>
      <c r="U58" s="362">
        <f t="shared" si="0"/>
        <v>10536</v>
      </c>
      <c r="W58" s="362">
        <v>10837</v>
      </c>
      <c r="X58" s="362">
        <f t="shared" si="1"/>
        <v>-301</v>
      </c>
    </row>
    <row r="59" spans="1:24" ht="12.75">
      <c r="A59" s="60">
        <v>52</v>
      </c>
      <c r="B59" s="359" t="s">
        <v>622</v>
      </c>
      <c r="C59" s="370" t="s">
        <v>636</v>
      </c>
      <c r="D59" s="362">
        <v>290</v>
      </c>
      <c r="E59" s="362">
        <v>2235</v>
      </c>
      <c r="F59" s="362">
        <v>2715</v>
      </c>
      <c r="G59" s="362">
        <v>2357</v>
      </c>
      <c r="H59" s="362">
        <v>2456</v>
      </c>
      <c r="I59" s="362">
        <v>2561</v>
      </c>
      <c r="J59" s="362">
        <v>2485</v>
      </c>
      <c r="K59" s="362">
        <v>2615</v>
      </c>
      <c r="L59" s="362">
        <v>2733</v>
      </c>
      <c r="M59" s="362">
        <v>2585</v>
      </c>
      <c r="N59" s="362">
        <v>2853</v>
      </c>
      <c r="O59" s="362">
        <v>2450</v>
      </c>
      <c r="P59" s="362">
        <v>2197</v>
      </c>
      <c r="Q59" s="362">
        <v>1970</v>
      </c>
      <c r="R59" s="362"/>
      <c r="S59" s="362"/>
      <c r="T59" s="362"/>
      <c r="U59" s="362">
        <f t="shared" si="0"/>
        <v>32502</v>
      </c>
      <c r="W59" s="362">
        <v>32286</v>
      </c>
      <c r="X59" s="362">
        <f t="shared" si="1"/>
        <v>216</v>
      </c>
    </row>
    <row r="60" spans="1:24" ht="12.75">
      <c r="A60" s="60">
        <v>53</v>
      </c>
      <c r="B60" s="359" t="s">
        <v>623</v>
      </c>
      <c r="C60" s="370" t="s">
        <v>636</v>
      </c>
      <c r="D60" s="362">
        <v>108</v>
      </c>
      <c r="E60" s="362">
        <v>1394</v>
      </c>
      <c r="F60" s="362">
        <v>1499</v>
      </c>
      <c r="G60" s="362">
        <v>1474</v>
      </c>
      <c r="H60" s="362">
        <v>1482</v>
      </c>
      <c r="I60" s="362">
        <v>1536</v>
      </c>
      <c r="J60" s="362">
        <v>1300</v>
      </c>
      <c r="K60" s="362">
        <v>1358</v>
      </c>
      <c r="L60" s="362">
        <v>1298</v>
      </c>
      <c r="M60" s="362">
        <v>1603</v>
      </c>
      <c r="N60" s="362">
        <v>1423</v>
      </c>
      <c r="O60" s="362">
        <v>1468</v>
      </c>
      <c r="P60" s="362">
        <v>1187</v>
      </c>
      <c r="Q60" s="362">
        <v>993</v>
      </c>
      <c r="R60" s="362"/>
      <c r="S60" s="362"/>
      <c r="T60" s="362"/>
      <c r="U60" s="362">
        <f t="shared" si="0"/>
        <v>18123</v>
      </c>
      <c r="W60" s="362">
        <v>18498</v>
      </c>
      <c r="X60" s="362">
        <f t="shared" si="1"/>
        <v>-375</v>
      </c>
    </row>
    <row r="61" spans="1:24" ht="12.75">
      <c r="A61" s="60">
        <v>54</v>
      </c>
      <c r="B61" s="359" t="s">
        <v>624</v>
      </c>
      <c r="C61" s="370" t="s">
        <v>636</v>
      </c>
      <c r="D61" s="362">
        <v>10</v>
      </c>
      <c r="E61" s="362">
        <v>57</v>
      </c>
      <c r="F61" s="362">
        <v>44</v>
      </c>
      <c r="G61" s="362">
        <v>59</v>
      </c>
      <c r="H61" s="362">
        <v>54</v>
      </c>
      <c r="I61" s="362">
        <v>67</v>
      </c>
      <c r="J61" s="362">
        <v>80</v>
      </c>
      <c r="K61" s="362">
        <v>71</v>
      </c>
      <c r="L61" s="362">
        <v>83</v>
      </c>
      <c r="M61" s="362">
        <v>74</v>
      </c>
      <c r="N61" s="362">
        <v>56</v>
      </c>
      <c r="O61" s="362">
        <v>81</v>
      </c>
      <c r="P61" s="362">
        <v>73</v>
      </c>
      <c r="Q61" s="362">
        <v>70</v>
      </c>
      <c r="R61" s="362"/>
      <c r="S61" s="362"/>
      <c r="T61" s="362">
        <v>149</v>
      </c>
      <c r="U61" s="362">
        <f t="shared" si="0"/>
        <v>1028</v>
      </c>
      <c r="W61" s="362">
        <v>1152</v>
      </c>
      <c r="X61" s="362">
        <f t="shared" si="1"/>
        <v>-124</v>
      </c>
    </row>
    <row r="62" spans="1:24" ht="12.75">
      <c r="A62" s="83">
        <v>55</v>
      </c>
      <c r="B62" s="358" t="s">
        <v>625</v>
      </c>
      <c r="C62" s="364">
        <v>46</v>
      </c>
      <c r="D62" s="365">
        <v>167</v>
      </c>
      <c r="E62" s="365">
        <v>1462</v>
      </c>
      <c r="F62" s="365">
        <v>1717</v>
      </c>
      <c r="G62" s="365">
        <v>1482</v>
      </c>
      <c r="H62" s="365">
        <v>1431</v>
      </c>
      <c r="I62" s="365">
        <v>1699</v>
      </c>
      <c r="J62" s="365">
        <v>1436</v>
      </c>
      <c r="K62" s="365">
        <v>1522</v>
      </c>
      <c r="L62" s="365">
        <v>1613</v>
      </c>
      <c r="M62" s="365">
        <v>1715</v>
      </c>
      <c r="N62" s="365">
        <v>1538</v>
      </c>
      <c r="O62" s="365">
        <v>1355</v>
      </c>
      <c r="P62" s="365">
        <v>1199</v>
      </c>
      <c r="Q62" s="365">
        <v>1150</v>
      </c>
      <c r="R62" s="365"/>
      <c r="S62" s="365"/>
      <c r="T62" s="365">
        <v>101</v>
      </c>
      <c r="U62" s="365">
        <f t="shared" si="0"/>
        <v>19633</v>
      </c>
      <c r="V62" s="310"/>
      <c r="W62" s="365">
        <v>19900</v>
      </c>
      <c r="X62" s="365">
        <f t="shared" si="1"/>
        <v>-267</v>
      </c>
    </row>
    <row r="63" spans="1:24" ht="12.75">
      <c r="A63" s="60">
        <v>56</v>
      </c>
      <c r="B63" s="359" t="s">
        <v>626</v>
      </c>
      <c r="C63" s="370" t="s">
        <v>636</v>
      </c>
      <c r="D63" s="362">
        <v>26</v>
      </c>
      <c r="E63" s="362">
        <v>301</v>
      </c>
      <c r="F63" s="362">
        <v>271</v>
      </c>
      <c r="G63" s="362">
        <v>296</v>
      </c>
      <c r="H63" s="362">
        <v>302</v>
      </c>
      <c r="I63" s="362">
        <v>312</v>
      </c>
      <c r="J63" s="362">
        <v>258</v>
      </c>
      <c r="K63" s="362">
        <v>260</v>
      </c>
      <c r="L63" s="362">
        <v>299</v>
      </c>
      <c r="M63" s="362">
        <v>273</v>
      </c>
      <c r="N63" s="362">
        <v>240</v>
      </c>
      <c r="O63" s="362">
        <v>238</v>
      </c>
      <c r="P63" s="362">
        <v>234</v>
      </c>
      <c r="Q63" s="362">
        <v>213</v>
      </c>
      <c r="R63" s="362"/>
      <c r="S63" s="362"/>
      <c r="T63" s="362">
        <v>15</v>
      </c>
      <c r="U63" s="362">
        <f t="shared" si="0"/>
        <v>3538</v>
      </c>
      <c r="W63" s="362">
        <v>3688</v>
      </c>
      <c r="X63" s="362">
        <f t="shared" si="1"/>
        <v>-150</v>
      </c>
    </row>
    <row r="64" spans="1:24" ht="12.75">
      <c r="A64" s="60">
        <v>57</v>
      </c>
      <c r="B64" s="359" t="s">
        <v>627</v>
      </c>
      <c r="C64" s="363">
        <v>60</v>
      </c>
      <c r="D64" s="362">
        <v>90</v>
      </c>
      <c r="E64" s="362">
        <v>642</v>
      </c>
      <c r="F64" s="362">
        <v>635</v>
      </c>
      <c r="G64" s="362">
        <v>660</v>
      </c>
      <c r="H64" s="362">
        <v>667</v>
      </c>
      <c r="I64" s="362">
        <v>758</v>
      </c>
      <c r="J64" s="362">
        <v>698</v>
      </c>
      <c r="K64" s="362">
        <v>661</v>
      </c>
      <c r="L64" s="362">
        <v>701</v>
      </c>
      <c r="M64" s="362">
        <v>736</v>
      </c>
      <c r="N64" s="362">
        <v>588</v>
      </c>
      <c r="O64" s="362">
        <v>621</v>
      </c>
      <c r="P64" s="362">
        <v>587</v>
      </c>
      <c r="Q64" s="362">
        <v>625</v>
      </c>
      <c r="R64" s="362"/>
      <c r="S64" s="362"/>
      <c r="T64" s="362">
        <v>150</v>
      </c>
      <c r="U64" s="362">
        <f t="shared" si="0"/>
        <v>8879</v>
      </c>
      <c r="W64" s="362">
        <v>9215</v>
      </c>
      <c r="X64" s="362">
        <f t="shared" si="1"/>
        <v>-336</v>
      </c>
    </row>
    <row r="65" spans="1:24" ht="12.75">
      <c r="A65" s="60">
        <v>58</v>
      </c>
      <c r="B65" s="359" t="s">
        <v>628</v>
      </c>
      <c r="C65" s="363">
        <v>41</v>
      </c>
      <c r="D65" s="362">
        <v>169</v>
      </c>
      <c r="E65" s="362">
        <v>951</v>
      </c>
      <c r="F65" s="362">
        <v>924</v>
      </c>
      <c r="G65" s="362">
        <v>869</v>
      </c>
      <c r="H65" s="362">
        <v>841</v>
      </c>
      <c r="I65" s="362">
        <v>842</v>
      </c>
      <c r="J65" s="362">
        <v>814</v>
      </c>
      <c r="K65" s="362">
        <v>760</v>
      </c>
      <c r="L65" s="362">
        <v>831</v>
      </c>
      <c r="M65" s="362">
        <v>690</v>
      </c>
      <c r="N65" s="362">
        <v>619</v>
      </c>
      <c r="O65" s="362">
        <v>627</v>
      </c>
      <c r="P65" s="362">
        <v>512</v>
      </c>
      <c r="Q65" s="362">
        <v>510</v>
      </c>
      <c r="R65" s="362"/>
      <c r="S65" s="362"/>
      <c r="T65" s="362">
        <v>87</v>
      </c>
      <c r="U65" s="362">
        <f t="shared" si="0"/>
        <v>10087</v>
      </c>
      <c r="W65" s="362">
        <v>10023</v>
      </c>
      <c r="X65" s="362">
        <f t="shared" si="1"/>
        <v>64</v>
      </c>
    </row>
    <row r="66" spans="1:24" ht="12.75">
      <c r="A66" s="60">
        <v>59</v>
      </c>
      <c r="B66" s="359" t="s">
        <v>629</v>
      </c>
      <c r="C66" s="370" t="s">
        <v>636</v>
      </c>
      <c r="D66" s="362">
        <v>61</v>
      </c>
      <c r="E66" s="362">
        <v>363</v>
      </c>
      <c r="F66" s="362">
        <v>368</v>
      </c>
      <c r="G66" s="362">
        <v>329</v>
      </c>
      <c r="H66" s="362">
        <v>348</v>
      </c>
      <c r="I66" s="362">
        <v>331</v>
      </c>
      <c r="J66" s="362">
        <v>332</v>
      </c>
      <c r="K66" s="362">
        <v>329</v>
      </c>
      <c r="L66" s="362">
        <v>330</v>
      </c>
      <c r="M66" s="362">
        <v>328</v>
      </c>
      <c r="N66" s="362">
        <v>290</v>
      </c>
      <c r="O66" s="362">
        <v>361</v>
      </c>
      <c r="P66" s="362">
        <v>283</v>
      </c>
      <c r="Q66" s="362">
        <v>282</v>
      </c>
      <c r="R66" s="362"/>
      <c r="S66" s="362"/>
      <c r="T66" s="362">
        <v>257</v>
      </c>
      <c r="U66" s="362">
        <f t="shared" si="0"/>
        <v>4592</v>
      </c>
      <c r="W66" s="362">
        <v>4567</v>
      </c>
      <c r="X66" s="362">
        <f t="shared" si="1"/>
        <v>25</v>
      </c>
    </row>
    <row r="67" spans="1:24" ht="12.75">
      <c r="A67" s="83">
        <v>60</v>
      </c>
      <c r="B67" s="358" t="s">
        <v>630</v>
      </c>
      <c r="C67" s="371" t="s">
        <v>636</v>
      </c>
      <c r="D67" s="365">
        <v>58</v>
      </c>
      <c r="E67" s="365">
        <v>581</v>
      </c>
      <c r="F67" s="365">
        <v>579</v>
      </c>
      <c r="G67" s="365">
        <v>536</v>
      </c>
      <c r="H67" s="365">
        <v>560</v>
      </c>
      <c r="I67" s="365">
        <v>623</v>
      </c>
      <c r="J67" s="365">
        <v>521</v>
      </c>
      <c r="K67" s="365">
        <v>638</v>
      </c>
      <c r="L67" s="365">
        <v>665</v>
      </c>
      <c r="M67" s="365">
        <v>596</v>
      </c>
      <c r="N67" s="365">
        <v>620</v>
      </c>
      <c r="O67" s="365">
        <v>599</v>
      </c>
      <c r="P67" s="365">
        <v>474</v>
      </c>
      <c r="Q67" s="365">
        <v>415</v>
      </c>
      <c r="R67" s="365"/>
      <c r="S67" s="365"/>
      <c r="T67" s="365">
        <v>86</v>
      </c>
      <c r="U67" s="365">
        <f t="shared" si="0"/>
        <v>7551</v>
      </c>
      <c r="V67" s="310"/>
      <c r="W67" s="365">
        <v>7754</v>
      </c>
      <c r="X67" s="365">
        <f t="shared" si="1"/>
        <v>-203</v>
      </c>
    </row>
    <row r="68" spans="1:24" ht="12.75">
      <c r="A68" s="60">
        <v>61</v>
      </c>
      <c r="B68" s="359" t="s">
        <v>631</v>
      </c>
      <c r="C68" s="370" t="s">
        <v>636</v>
      </c>
      <c r="D68" s="362"/>
      <c r="E68" s="362">
        <v>294</v>
      </c>
      <c r="F68" s="362">
        <v>293</v>
      </c>
      <c r="G68" s="362">
        <v>256</v>
      </c>
      <c r="H68" s="362">
        <v>285</v>
      </c>
      <c r="I68" s="362">
        <v>267</v>
      </c>
      <c r="J68" s="362">
        <v>284</v>
      </c>
      <c r="K68" s="362">
        <v>335</v>
      </c>
      <c r="L68" s="362">
        <v>300</v>
      </c>
      <c r="M68" s="362">
        <v>293</v>
      </c>
      <c r="N68" s="362">
        <v>273</v>
      </c>
      <c r="O68" s="362">
        <v>282</v>
      </c>
      <c r="P68" s="362">
        <v>286</v>
      </c>
      <c r="Q68" s="362">
        <v>252</v>
      </c>
      <c r="R68" s="362"/>
      <c r="S68" s="362"/>
      <c r="T68" s="362">
        <v>53</v>
      </c>
      <c r="U68" s="362">
        <f t="shared" si="0"/>
        <v>3753</v>
      </c>
      <c r="W68" s="362">
        <v>3816</v>
      </c>
      <c r="X68" s="362">
        <f t="shared" si="1"/>
        <v>-63</v>
      </c>
    </row>
    <row r="69" spans="1:24" ht="12.75">
      <c r="A69" s="60">
        <v>62</v>
      </c>
      <c r="B69" s="359" t="s">
        <v>632</v>
      </c>
      <c r="C69" s="363">
        <v>19</v>
      </c>
      <c r="D69" s="362">
        <v>32</v>
      </c>
      <c r="E69" s="362">
        <v>150</v>
      </c>
      <c r="F69" s="362">
        <v>191</v>
      </c>
      <c r="G69" s="362">
        <v>211</v>
      </c>
      <c r="H69" s="362">
        <v>209</v>
      </c>
      <c r="I69" s="362">
        <v>202</v>
      </c>
      <c r="J69" s="362">
        <v>202</v>
      </c>
      <c r="K69" s="362">
        <v>193</v>
      </c>
      <c r="L69" s="362">
        <v>208</v>
      </c>
      <c r="M69" s="362">
        <v>175</v>
      </c>
      <c r="N69" s="362">
        <v>163</v>
      </c>
      <c r="O69" s="362">
        <v>177</v>
      </c>
      <c r="P69" s="362">
        <v>155</v>
      </c>
      <c r="Q69" s="362">
        <v>173</v>
      </c>
      <c r="R69" s="362"/>
      <c r="S69" s="362"/>
      <c r="T69" s="362">
        <v>26</v>
      </c>
      <c r="U69" s="362">
        <f t="shared" si="0"/>
        <v>2486</v>
      </c>
      <c r="W69" s="362">
        <v>2590</v>
      </c>
      <c r="X69" s="362">
        <f t="shared" si="1"/>
        <v>-104</v>
      </c>
    </row>
    <row r="70" spans="1:24" ht="12.75">
      <c r="A70" s="60">
        <v>63</v>
      </c>
      <c r="B70" s="359" t="s">
        <v>633</v>
      </c>
      <c r="C70" s="370" t="s">
        <v>636</v>
      </c>
      <c r="D70" s="362">
        <v>15</v>
      </c>
      <c r="E70" s="362">
        <v>152</v>
      </c>
      <c r="F70" s="362">
        <v>170</v>
      </c>
      <c r="G70" s="362">
        <v>202</v>
      </c>
      <c r="H70" s="362">
        <v>166</v>
      </c>
      <c r="I70" s="362">
        <v>178</v>
      </c>
      <c r="J70" s="362">
        <v>166</v>
      </c>
      <c r="K70" s="362">
        <v>185</v>
      </c>
      <c r="L70" s="362">
        <v>173</v>
      </c>
      <c r="M70" s="362">
        <v>173</v>
      </c>
      <c r="N70" s="362">
        <v>181</v>
      </c>
      <c r="O70" s="362">
        <v>150</v>
      </c>
      <c r="P70" s="362">
        <v>147</v>
      </c>
      <c r="Q70" s="362">
        <v>130</v>
      </c>
      <c r="R70" s="362"/>
      <c r="S70" s="362"/>
      <c r="T70" s="362">
        <v>3</v>
      </c>
      <c r="U70" s="362">
        <f t="shared" si="0"/>
        <v>2191</v>
      </c>
      <c r="W70" s="362">
        <v>2224</v>
      </c>
      <c r="X70" s="362">
        <f t="shared" si="1"/>
        <v>-33</v>
      </c>
    </row>
    <row r="71" spans="1:24" ht="12.75">
      <c r="A71" s="60">
        <v>64</v>
      </c>
      <c r="B71" s="359" t="s">
        <v>634</v>
      </c>
      <c r="C71" s="363">
        <v>10</v>
      </c>
      <c r="D71" s="362">
        <v>23</v>
      </c>
      <c r="E71" s="362">
        <v>234</v>
      </c>
      <c r="F71" s="362">
        <v>248</v>
      </c>
      <c r="G71" s="362">
        <v>192</v>
      </c>
      <c r="H71" s="362">
        <v>215</v>
      </c>
      <c r="I71" s="362">
        <v>226</v>
      </c>
      <c r="J71" s="362">
        <v>206</v>
      </c>
      <c r="K71" s="362">
        <v>218</v>
      </c>
      <c r="L71" s="362">
        <v>223</v>
      </c>
      <c r="M71" s="362">
        <v>263</v>
      </c>
      <c r="N71" s="362">
        <v>250</v>
      </c>
      <c r="O71" s="362">
        <v>198</v>
      </c>
      <c r="P71" s="362">
        <v>176</v>
      </c>
      <c r="Q71" s="362">
        <v>160</v>
      </c>
      <c r="R71" s="362"/>
      <c r="S71" s="362"/>
      <c r="T71" s="362">
        <v>28</v>
      </c>
      <c r="U71" s="362">
        <f t="shared" si="0"/>
        <v>2870</v>
      </c>
      <c r="W71" s="362">
        <v>2935</v>
      </c>
      <c r="X71" s="362">
        <f t="shared" si="1"/>
        <v>-65</v>
      </c>
    </row>
    <row r="72" spans="1:24" ht="12.75">
      <c r="A72" s="60">
        <v>65</v>
      </c>
      <c r="B72" s="359" t="s">
        <v>237</v>
      </c>
      <c r="C72" s="363">
        <v>39</v>
      </c>
      <c r="D72" s="362">
        <v>64</v>
      </c>
      <c r="E72" s="362">
        <v>826</v>
      </c>
      <c r="F72" s="362">
        <v>926</v>
      </c>
      <c r="G72" s="362">
        <v>795</v>
      </c>
      <c r="H72" s="362">
        <v>882</v>
      </c>
      <c r="I72" s="362">
        <v>944</v>
      </c>
      <c r="J72" s="362">
        <v>696</v>
      </c>
      <c r="K72" s="362">
        <v>755</v>
      </c>
      <c r="L72" s="362">
        <v>800</v>
      </c>
      <c r="M72" s="362">
        <v>744</v>
      </c>
      <c r="N72" s="362">
        <v>885</v>
      </c>
      <c r="O72" s="362">
        <v>689</v>
      </c>
      <c r="P72" s="362">
        <v>655</v>
      </c>
      <c r="Q72" s="362">
        <v>508</v>
      </c>
      <c r="R72" s="362"/>
      <c r="S72" s="362"/>
      <c r="T72" s="362"/>
      <c r="U72" s="362">
        <f t="shared" si="0"/>
        <v>10208</v>
      </c>
      <c r="W72" s="362">
        <v>10164</v>
      </c>
      <c r="X72" s="362">
        <f t="shared" si="1"/>
        <v>44</v>
      </c>
    </row>
    <row r="73" spans="1:24" ht="12.75">
      <c r="A73" s="60">
        <v>66</v>
      </c>
      <c r="B73" s="359" t="s">
        <v>238</v>
      </c>
      <c r="C73" s="370" t="s">
        <v>636</v>
      </c>
      <c r="D73" s="362">
        <v>24</v>
      </c>
      <c r="E73" s="362">
        <v>263</v>
      </c>
      <c r="F73" s="362">
        <v>261</v>
      </c>
      <c r="G73" s="362">
        <v>237</v>
      </c>
      <c r="H73" s="362">
        <v>260</v>
      </c>
      <c r="I73" s="362">
        <v>243</v>
      </c>
      <c r="J73" s="362">
        <v>197</v>
      </c>
      <c r="K73" s="362">
        <v>211</v>
      </c>
      <c r="L73" s="362">
        <v>245</v>
      </c>
      <c r="M73" s="362">
        <v>293</v>
      </c>
      <c r="N73" s="362">
        <v>220</v>
      </c>
      <c r="O73" s="362">
        <v>238</v>
      </c>
      <c r="P73" s="362">
        <v>184</v>
      </c>
      <c r="Q73" s="362">
        <v>180</v>
      </c>
      <c r="R73" s="362"/>
      <c r="S73" s="362"/>
      <c r="T73" s="362">
        <v>20</v>
      </c>
      <c r="U73" s="362">
        <f>SUM(C73:T73)</f>
        <v>3076</v>
      </c>
      <c r="W73" s="362">
        <v>3086</v>
      </c>
      <c r="X73" s="362">
        <f>U73-W73</f>
        <v>-10</v>
      </c>
    </row>
    <row r="74" spans="1:24" ht="13.5" thickBot="1">
      <c r="A74" s="366"/>
      <c r="B74" s="366" t="s">
        <v>635</v>
      </c>
      <c r="C74" s="367">
        <f aca="true" t="shared" si="2" ref="C74:Q74">SUM(C8:C73)</f>
        <v>1298</v>
      </c>
      <c r="D74" s="367">
        <f t="shared" si="2"/>
        <v>5080</v>
      </c>
      <c r="E74" s="367">
        <f t="shared" si="2"/>
        <v>54981</v>
      </c>
      <c r="F74" s="367">
        <f t="shared" si="2"/>
        <v>60139</v>
      </c>
      <c r="G74" s="367">
        <f t="shared" si="2"/>
        <v>57713</v>
      </c>
      <c r="H74" s="367">
        <f t="shared" si="2"/>
        <v>58307</v>
      </c>
      <c r="I74" s="367">
        <f t="shared" si="2"/>
        <v>63611</v>
      </c>
      <c r="J74" s="367">
        <f t="shared" si="2"/>
        <v>50187</v>
      </c>
      <c r="K74" s="367">
        <f t="shared" si="2"/>
        <v>57805</v>
      </c>
      <c r="L74" s="367">
        <f t="shared" si="2"/>
        <v>58604</v>
      </c>
      <c r="M74" s="367">
        <f t="shared" si="2"/>
        <v>61721</v>
      </c>
      <c r="N74" s="367">
        <f t="shared" si="2"/>
        <v>53473</v>
      </c>
      <c r="O74" s="367">
        <f t="shared" si="2"/>
        <v>52364</v>
      </c>
      <c r="P74" s="367">
        <f t="shared" si="2"/>
        <v>45596</v>
      </c>
      <c r="Q74" s="367">
        <f t="shared" si="2"/>
        <v>41392</v>
      </c>
      <c r="R74" s="367"/>
      <c r="S74" s="367"/>
      <c r="T74" s="367">
        <f>SUM(T8:T73)</f>
        <v>4984</v>
      </c>
      <c r="U74" s="367">
        <f>SUM(U8:U73)</f>
        <v>727255</v>
      </c>
      <c r="W74" s="367">
        <f>SUM(W8:W73)</f>
        <v>738624</v>
      </c>
      <c r="X74" s="367">
        <f>SUM(X8:X73)</f>
        <v>-11369</v>
      </c>
    </row>
    <row r="75" spans="2:24" ht="56.25" customHeight="1" thickTop="1">
      <c r="B75" s="368"/>
      <c r="C75" s="620" t="s">
        <v>694</v>
      </c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620" t="s">
        <v>693</v>
      </c>
      <c r="O75" s="587"/>
      <c r="P75" s="587"/>
      <c r="Q75" s="587"/>
      <c r="R75" s="587"/>
      <c r="S75" s="587"/>
      <c r="T75" s="587"/>
      <c r="U75" s="587"/>
      <c r="V75" s="587"/>
      <c r="W75" s="587"/>
      <c r="X75" s="587"/>
    </row>
  </sheetData>
  <mergeCells count="4">
    <mergeCell ref="C4:M5"/>
    <mergeCell ref="N4:T5"/>
    <mergeCell ref="C75:M75"/>
    <mergeCell ref="N75:X75"/>
  </mergeCells>
  <printOptions horizontalCentered="1"/>
  <pageMargins left="0.25" right="0.25" top="0" bottom="0" header="0.25" footer="0.25"/>
  <pageSetup firstPageNumber="18" useFirstPageNumber="1" horizontalDpi="600" verticalDpi="600" orientation="portrait" paperSize="5" scale="95" r:id="rId1"/>
  <headerFooter alignWithMargins="0">
    <oddHeader>&amp;RCircular 1063
</oddHeader>
    <oddFooter>&amp;L&amp;F&amp;R&amp;D, Page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ntayal</dc:creator>
  <cp:keywords/>
  <dc:description/>
  <cp:lastModifiedBy>cstevens</cp:lastModifiedBy>
  <cp:lastPrinted>2002-02-06T16:36:02Z</cp:lastPrinted>
  <dcterms:created xsi:type="dcterms:W3CDTF">1999-11-15T20:37:39Z</dcterms:created>
  <dcterms:modified xsi:type="dcterms:W3CDTF">2002-02-06T16:36:06Z</dcterms:modified>
  <cp:category/>
  <cp:version/>
  <cp:contentType/>
  <cp:contentStatus/>
</cp:coreProperties>
</file>