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Revenue by Group_Object" sheetId="1" r:id="rId1"/>
  </sheets>
  <externalReferences>
    <externalReference r:id="rId2"/>
    <externalReference r:id="rId3"/>
  </externalReferences>
  <definedNames>
    <definedName name="_xlnm.Print_Area" localSheetId="0">'Revenue by Group_Object'!$A$1:$O$158</definedName>
    <definedName name="_xlnm.Print_Titles" localSheetId="0">'Revenue by Group_Object'!$A:$B,'Revenue by Group_Object'!$1:$4</definedName>
  </definedNames>
  <calcPr calcId="145621"/>
</workbook>
</file>

<file path=xl/calcChain.xml><?xml version="1.0" encoding="utf-8"?>
<calcChain xmlns="http://schemas.openxmlformats.org/spreadsheetml/2006/main">
  <c r="L152" i="1" l="1"/>
  <c r="K152" i="1"/>
  <c r="J152" i="1"/>
  <c r="I152" i="1"/>
  <c r="G152" i="1"/>
  <c r="F152" i="1"/>
  <c r="E152" i="1"/>
  <c r="D152" i="1"/>
  <c r="C152" i="1"/>
  <c r="M151" i="1"/>
  <c r="M152" i="1" s="1"/>
  <c r="H151" i="1"/>
  <c r="H152" i="1" s="1"/>
  <c r="L149" i="1"/>
  <c r="K149" i="1"/>
  <c r="I149" i="1"/>
  <c r="G149" i="1"/>
  <c r="F149" i="1"/>
  <c r="E149" i="1"/>
  <c r="D149" i="1"/>
  <c r="C149" i="1"/>
  <c r="M148" i="1"/>
  <c r="H148" i="1"/>
  <c r="M147" i="1"/>
  <c r="H147" i="1"/>
  <c r="N147" i="1" s="1"/>
  <c r="M146" i="1"/>
  <c r="H146" i="1"/>
  <c r="M145" i="1"/>
  <c r="H145" i="1"/>
  <c r="N145" i="1" s="1"/>
  <c r="M144" i="1"/>
  <c r="H144" i="1"/>
  <c r="M143" i="1"/>
  <c r="H143" i="1"/>
  <c r="N143" i="1" s="1"/>
  <c r="M142" i="1"/>
  <c r="H142" i="1"/>
  <c r="M141" i="1"/>
  <c r="H141" i="1"/>
  <c r="N141" i="1" s="1"/>
  <c r="M140" i="1"/>
  <c r="H140" i="1"/>
  <c r="M139" i="1"/>
  <c r="H139" i="1"/>
  <c r="N139" i="1" s="1"/>
  <c r="M138" i="1"/>
  <c r="H138" i="1"/>
  <c r="M137" i="1"/>
  <c r="H137" i="1"/>
  <c r="N137" i="1" s="1"/>
  <c r="M136" i="1"/>
  <c r="H136" i="1"/>
  <c r="M135" i="1"/>
  <c r="H135" i="1"/>
  <c r="N135" i="1" s="1"/>
  <c r="M134" i="1"/>
  <c r="H134" i="1"/>
  <c r="M133" i="1"/>
  <c r="H133" i="1"/>
  <c r="N133" i="1" s="1"/>
  <c r="M132" i="1"/>
  <c r="H132" i="1"/>
  <c r="M131" i="1"/>
  <c r="H131" i="1"/>
  <c r="N131" i="1" s="1"/>
  <c r="M130" i="1"/>
  <c r="H130" i="1"/>
  <c r="M129" i="1"/>
  <c r="H129" i="1"/>
  <c r="N129" i="1" s="1"/>
  <c r="M128" i="1"/>
  <c r="H128" i="1"/>
  <c r="M127" i="1"/>
  <c r="H127" i="1"/>
  <c r="N127" i="1" s="1"/>
  <c r="M126" i="1"/>
  <c r="H126" i="1"/>
  <c r="M125" i="1"/>
  <c r="H125" i="1"/>
  <c r="N125" i="1" s="1"/>
  <c r="J124" i="1"/>
  <c r="J149" i="1" s="1"/>
  <c r="H124" i="1"/>
  <c r="M123" i="1"/>
  <c r="H123" i="1"/>
  <c r="M122" i="1"/>
  <c r="H122" i="1"/>
  <c r="M121" i="1"/>
  <c r="H121" i="1"/>
  <c r="N121" i="1" s="1"/>
  <c r="M120" i="1"/>
  <c r="H120" i="1"/>
  <c r="M119" i="1"/>
  <c r="H119" i="1"/>
  <c r="N119" i="1" s="1"/>
  <c r="M118" i="1"/>
  <c r="H118" i="1"/>
  <c r="M117" i="1"/>
  <c r="H117" i="1"/>
  <c r="N117" i="1" s="1"/>
  <c r="M116" i="1"/>
  <c r="H116" i="1"/>
  <c r="M115" i="1"/>
  <c r="H115" i="1"/>
  <c r="N115" i="1" s="1"/>
  <c r="M114" i="1"/>
  <c r="H114" i="1"/>
  <c r="M113" i="1"/>
  <c r="H113" i="1"/>
  <c r="N113" i="1" s="1"/>
  <c r="M112" i="1"/>
  <c r="H112" i="1"/>
  <c r="M111" i="1"/>
  <c r="H111" i="1"/>
  <c r="N111" i="1" s="1"/>
  <c r="M110" i="1"/>
  <c r="H110" i="1"/>
  <c r="M109" i="1"/>
  <c r="H109" i="1"/>
  <c r="N109" i="1" s="1"/>
  <c r="M108" i="1"/>
  <c r="H108" i="1"/>
  <c r="M107" i="1"/>
  <c r="H107" i="1"/>
  <c r="N107" i="1" s="1"/>
  <c r="M106" i="1"/>
  <c r="H106" i="1"/>
  <c r="M105" i="1"/>
  <c r="H105" i="1"/>
  <c r="N105" i="1" s="1"/>
  <c r="M104" i="1"/>
  <c r="H104" i="1"/>
  <c r="M103" i="1"/>
  <c r="H103" i="1"/>
  <c r="N103" i="1" s="1"/>
  <c r="M102" i="1"/>
  <c r="H102" i="1"/>
  <c r="M101" i="1"/>
  <c r="H101" i="1"/>
  <c r="N101" i="1" s="1"/>
  <c r="M100" i="1"/>
  <c r="H100" i="1"/>
  <c r="M99" i="1"/>
  <c r="H99" i="1"/>
  <c r="N99" i="1" s="1"/>
  <c r="M98" i="1"/>
  <c r="H98" i="1"/>
  <c r="M97" i="1"/>
  <c r="H97" i="1"/>
  <c r="N97" i="1" s="1"/>
  <c r="M96" i="1"/>
  <c r="H96" i="1"/>
  <c r="M95" i="1"/>
  <c r="H95" i="1"/>
  <c r="H149" i="1" s="1"/>
  <c r="L93" i="1"/>
  <c r="K93" i="1"/>
  <c r="J93" i="1"/>
  <c r="I93" i="1"/>
  <c r="G93" i="1"/>
  <c r="F93" i="1"/>
  <c r="E93" i="1"/>
  <c r="D93" i="1"/>
  <c r="C93" i="1"/>
  <c r="M92" i="1"/>
  <c r="H92" i="1"/>
  <c r="M91" i="1"/>
  <c r="H91" i="1"/>
  <c r="M90" i="1"/>
  <c r="H90" i="1"/>
  <c r="M89" i="1"/>
  <c r="H89" i="1"/>
  <c r="M88" i="1"/>
  <c r="H88" i="1"/>
  <c r="M87" i="1"/>
  <c r="H87" i="1"/>
  <c r="M86" i="1"/>
  <c r="H86" i="1"/>
  <c r="M85" i="1"/>
  <c r="H85" i="1"/>
  <c r="M84" i="1"/>
  <c r="H84" i="1"/>
  <c r="M83" i="1"/>
  <c r="H83" i="1"/>
  <c r="M82" i="1"/>
  <c r="H82" i="1"/>
  <c r="M81" i="1"/>
  <c r="H81" i="1"/>
  <c r="L79" i="1"/>
  <c r="K79" i="1"/>
  <c r="J79" i="1"/>
  <c r="I79" i="1"/>
  <c r="G79" i="1"/>
  <c r="F79" i="1"/>
  <c r="E79" i="1"/>
  <c r="D79" i="1"/>
  <c r="C79" i="1"/>
  <c r="M78" i="1"/>
  <c r="H78" i="1"/>
  <c r="N78" i="1" s="1"/>
  <c r="M77" i="1"/>
  <c r="H77" i="1"/>
  <c r="L75" i="1"/>
  <c r="K75" i="1"/>
  <c r="K154" i="1" s="1"/>
  <c r="I75" i="1"/>
  <c r="I154" i="1" s="1"/>
  <c r="G75" i="1"/>
  <c r="F75" i="1"/>
  <c r="D75" i="1"/>
  <c r="D154" i="1" s="1"/>
  <c r="M74" i="1"/>
  <c r="J74" i="1"/>
  <c r="E74" i="1"/>
  <c r="E75" i="1" s="1"/>
  <c r="E154" i="1" s="1"/>
  <c r="C74" i="1"/>
  <c r="M73" i="1"/>
  <c r="H73" i="1"/>
  <c r="C73" i="1"/>
  <c r="M72" i="1"/>
  <c r="H72" i="1"/>
  <c r="C72" i="1"/>
  <c r="N72" i="1" s="1"/>
  <c r="M71" i="1"/>
  <c r="H71" i="1"/>
  <c r="C71" i="1"/>
  <c r="M70" i="1"/>
  <c r="H70" i="1"/>
  <c r="C70" i="1"/>
  <c r="M69" i="1"/>
  <c r="H69" i="1"/>
  <c r="C69" i="1"/>
  <c r="M68" i="1"/>
  <c r="H68" i="1"/>
  <c r="C68" i="1"/>
  <c r="N68" i="1" s="1"/>
  <c r="M67" i="1"/>
  <c r="H67" i="1"/>
  <c r="C67" i="1"/>
  <c r="M66" i="1"/>
  <c r="H66" i="1"/>
  <c r="C66" i="1"/>
  <c r="M65" i="1"/>
  <c r="H65" i="1"/>
  <c r="C65" i="1"/>
  <c r="M64" i="1"/>
  <c r="H64" i="1"/>
  <c r="C64" i="1"/>
  <c r="N64" i="1" s="1"/>
  <c r="M63" i="1"/>
  <c r="H63" i="1"/>
  <c r="C63" i="1"/>
  <c r="M62" i="1"/>
  <c r="H62" i="1"/>
  <c r="C62" i="1"/>
  <c r="M61" i="1"/>
  <c r="H61" i="1"/>
  <c r="C61" i="1"/>
  <c r="M60" i="1"/>
  <c r="H60" i="1"/>
  <c r="C60" i="1"/>
  <c r="N60" i="1" s="1"/>
  <c r="M59" i="1"/>
  <c r="H59" i="1"/>
  <c r="C59" i="1"/>
  <c r="M58" i="1"/>
  <c r="H58" i="1"/>
  <c r="C58" i="1"/>
  <c r="M57" i="1"/>
  <c r="H57" i="1"/>
  <c r="C57" i="1"/>
  <c r="J56" i="1"/>
  <c r="M56" i="1" s="1"/>
  <c r="H56" i="1"/>
  <c r="C56" i="1"/>
  <c r="M55" i="1"/>
  <c r="H55" i="1"/>
  <c r="C55" i="1"/>
  <c r="M54" i="1"/>
  <c r="H54" i="1"/>
  <c r="C54" i="1"/>
  <c r="M53" i="1"/>
  <c r="H53" i="1"/>
  <c r="C53" i="1"/>
  <c r="M52" i="1"/>
  <c r="H52" i="1"/>
  <c r="C52" i="1"/>
  <c r="M51" i="1"/>
  <c r="H51" i="1"/>
  <c r="C51" i="1"/>
  <c r="M50" i="1"/>
  <c r="H50" i="1"/>
  <c r="C50" i="1"/>
  <c r="M49" i="1"/>
  <c r="H49" i="1"/>
  <c r="C49" i="1"/>
  <c r="J48" i="1"/>
  <c r="M48" i="1" s="1"/>
  <c r="H48" i="1"/>
  <c r="C48" i="1"/>
  <c r="M47" i="1"/>
  <c r="H47" i="1"/>
  <c r="C47" i="1"/>
  <c r="N47" i="1" s="1"/>
  <c r="M46" i="1"/>
  <c r="H46" i="1"/>
  <c r="C46" i="1"/>
  <c r="M45" i="1"/>
  <c r="H45" i="1"/>
  <c r="C45" i="1"/>
  <c r="M44" i="1"/>
  <c r="H44" i="1"/>
  <c r="C44" i="1"/>
  <c r="M43" i="1"/>
  <c r="H43" i="1"/>
  <c r="C43" i="1"/>
  <c r="N43" i="1" s="1"/>
  <c r="J42" i="1"/>
  <c r="M42" i="1" s="1"/>
  <c r="H42" i="1"/>
  <c r="C42" i="1"/>
  <c r="M41" i="1"/>
  <c r="H41" i="1"/>
  <c r="N41" i="1" s="1"/>
  <c r="C41" i="1"/>
  <c r="M40" i="1"/>
  <c r="H40" i="1"/>
  <c r="C40" i="1"/>
  <c r="M39" i="1"/>
  <c r="H39" i="1"/>
  <c r="C39" i="1"/>
  <c r="M38" i="1"/>
  <c r="H38" i="1"/>
  <c r="C38" i="1"/>
  <c r="M37" i="1"/>
  <c r="H37" i="1"/>
  <c r="N37" i="1" s="1"/>
  <c r="C37" i="1"/>
  <c r="M36" i="1"/>
  <c r="H36" i="1"/>
  <c r="C36" i="1"/>
  <c r="M35" i="1"/>
  <c r="H35" i="1"/>
  <c r="C35" i="1"/>
  <c r="M34" i="1"/>
  <c r="H34" i="1"/>
  <c r="C34" i="1"/>
  <c r="J33" i="1"/>
  <c r="H33" i="1"/>
  <c r="C33" i="1"/>
  <c r="M32" i="1"/>
  <c r="H32" i="1"/>
  <c r="C32" i="1"/>
  <c r="N32" i="1" s="1"/>
  <c r="M31" i="1"/>
  <c r="H31" i="1"/>
  <c r="C31" i="1"/>
  <c r="M30" i="1"/>
  <c r="H30" i="1"/>
  <c r="C30" i="1"/>
  <c r="M29" i="1"/>
  <c r="H29" i="1"/>
  <c r="C29" i="1"/>
  <c r="M28" i="1"/>
  <c r="H28" i="1"/>
  <c r="C28" i="1"/>
  <c r="N28" i="1" s="1"/>
  <c r="M27" i="1"/>
  <c r="H27" i="1"/>
  <c r="C27" i="1"/>
  <c r="M26" i="1"/>
  <c r="H26" i="1"/>
  <c r="C26" i="1"/>
  <c r="M25" i="1"/>
  <c r="H25" i="1"/>
  <c r="C25" i="1"/>
  <c r="M24" i="1"/>
  <c r="H24" i="1"/>
  <c r="C24" i="1"/>
  <c r="N24" i="1" s="1"/>
  <c r="M23" i="1"/>
  <c r="H23" i="1"/>
  <c r="C23" i="1"/>
  <c r="M22" i="1"/>
  <c r="H22" i="1"/>
  <c r="C22" i="1"/>
  <c r="M21" i="1"/>
  <c r="H21" i="1"/>
  <c r="C21" i="1"/>
  <c r="M20" i="1"/>
  <c r="H20" i="1"/>
  <c r="C20" i="1"/>
  <c r="N20" i="1" s="1"/>
  <c r="M19" i="1"/>
  <c r="H19" i="1"/>
  <c r="C19" i="1"/>
  <c r="M18" i="1"/>
  <c r="H18" i="1"/>
  <c r="C18" i="1"/>
  <c r="M17" i="1"/>
  <c r="H17" i="1"/>
  <c r="C17" i="1"/>
  <c r="M16" i="1"/>
  <c r="H16" i="1"/>
  <c r="C16" i="1"/>
  <c r="N16" i="1" s="1"/>
  <c r="M15" i="1"/>
  <c r="H15" i="1"/>
  <c r="C15" i="1"/>
  <c r="M14" i="1"/>
  <c r="H14" i="1"/>
  <c r="C14" i="1"/>
  <c r="M13" i="1"/>
  <c r="H13" i="1"/>
  <c r="C13" i="1"/>
  <c r="M12" i="1"/>
  <c r="H12" i="1"/>
  <c r="C12" i="1"/>
  <c r="N12" i="1" s="1"/>
  <c r="M11" i="1"/>
  <c r="H11" i="1"/>
  <c r="C11" i="1"/>
  <c r="M10" i="1"/>
  <c r="H10" i="1"/>
  <c r="C10" i="1"/>
  <c r="M9" i="1"/>
  <c r="H9" i="1"/>
  <c r="C9" i="1"/>
  <c r="M8" i="1"/>
  <c r="H8" i="1"/>
  <c r="C8" i="1"/>
  <c r="N8" i="1" s="1"/>
  <c r="M7" i="1"/>
  <c r="H7" i="1"/>
  <c r="C7" i="1"/>
  <c r="M6" i="1"/>
  <c r="H6" i="1"/>
  <c r="C6" i="1"/>
  <c r="M5" i="1"/>
  <c r="H5" i="1"/>
  <c r="C5" i="1"/>
  <c r="N52" i="1" l="1"/>
  <c r="H74" i="1"/>
  <c r="H75" i="1"/>
  <c r="N10" i="1"/>
  <c r="N18" i="1"/>
  <c r="N26" i="1"/>
  <c r="N30" i="1"/>
  <c r="N35" i="1"/>
  <c r="N39" i="1"/>
  <c r="F154" i="1"/>
  <c r="L154" i="1"/>
  <c r="N6" i="1"/>
  <c r="N14" i="1"/>
  <c r="N22" i="1"/>
  <c r="N45" i="1"/>
  <c r="N50" i="1"/>
  <c r="N54" i="1"/>
  <c r="N58" i="1"/>
  <c r="N62" i="1"/>
  <c r="N66" i="1"/>
  <c r="N70" i="1"/>
  <c r="N74" i="1"/>
  <c r="G154" i="1"/>
  <c r="N77" i="1"/>
  <c r="N79" i="1" s="1"/>
  <c r="N96" i="1"/>
  <c r="N98" i="1"/>
  <c r="N100" i="1"/>
  <c r="N102" i="1"/>
  <c r="N104" i="1"/>
  <c r="N106" i="1"/>
  <c r="N108" i="1"/>
  <c r="N110" i="1"/>
  <c r="N112" i="1"/>
  <c r="N114" i="1"/>
  <c r="N116" i="1"/>
  <c r="N118" i="1"/>
  <c r="N120" i="1"/>
  <c r="N122" i="1"/>
  <c r="N126" i="1"/>
  <c r="N128" i="1"/>
  <c r="N130" i="1"/>
  <c r="N132" i="1"/>
  <c r="N134" i="1"/>
  <c r="N136" i="1"/>
  <c r="N138" i="1"/>
  <c r="N140" i="1"/>
  <c r="N142" i="1"/>
  <c r="N144" i="1"/>
  <c r="N146" i="1"/>
  <c r="N148" i="1"/>
  <c r="N42" i="1"/>
  <c r="M93" i="1"/>
  <c r="N123" i="1"/>
  <c r="C75" i="1"/>
  <c r="C154" i="1" s="1"/>
  <c r="N7" i="1"/>
  <c r="N9" i="1"/>
  <c r="N11" i="1"/>
  <c r="N13" i="1"/>
  <c r="N15" i="1"/>
  <c r="N17" i="1"/>
  <c r="N19" i="1"/>
  <c r="N21" i="1"/>
  <c r="N23" i="1"/>
  <c r="N25" i="1"/>
  <c r="N27" i="1"/>
  <c r="N29" i="1"/>
  <c r="N31" i="1"/>
  <c r="J75" i="1"/>
  <c r="J154" i="1" s="1"/>
  <c r="N34" i="1"/>
  <c r="N36" i="1"/>
  <c r="N38" i="1"/>
  <c r="N40" i="1"/>
  <c r="N44" i="1"/>
  <c r="N46" i="1"/>
  <c r="N48" i="1"/>
  <c r="N49" i="1"/>
  <c r="N51" i="1"/>
  <c r="N53" i="1"/>
  <c r="N55" i="1"/>
  <c r="N56" i="1"/>
  <c r="N57" i="1"/>
  <c r="N59" i="1"/>
  <c r="N61" i="1"/>
  <c r="N63" i="1"/>
  <c r="N65" i="1"/>
  <c r="N67" i="1"/>
  <c r="N69" i="1"/>
  <c r="N71" i="1"/>
  <c r="N73" i="1"/>
  <c r="M79" i="1"/>
  <c r="N81" i="1"/>
  <c r="N82" i="1"/>
  <c r="N83" i="1"/>
  <c r="N84" i="1"/>
  <c r="N85" i="1"/>
  <c r="N86" i="1"/>
  <c r="N87" i="1"/>
  <c r="N88" i="1"/>
  <c r="N89" i="1"/>
  <c r="N90" i="1"/>
  <c r="N91" i="1"/>
  <c r="N92" i="1"/>
  <c r="N5" i="1"/>
  <c r="M33" i="1"/>
  <c r="M75" i="1" s="1"/>
  <c r="H79" i="1"/>
  <c r="H154" i="1" s="1"/>
  <c r="H93" i="1"/>
  <c r="M124" i="1"/>
  <c r="N124" i="1" s="1"/>
  <c r="N151" i="1"/>
  <c r="N152" i="1" s="1"/>
  <c r="N95" i="1"/>
  <c r="N149" i="1" s="1"/>
  <c r="M149" i="1" l="1"/>
  <c r="M154" i="1" s="1"/>
  <c r="N93" i="1"/>
  <c r="N33" i="1"/>
  <c r="N75" i="1" s="1"/>
  <c r="N154" i="1" s="1"/>
</calcChain>
</file>

<file path=xl/sharedStrings.xml><?xml version="1.0" encoding="utf-8"?>
<sst xmlns="http://schemas.openxmlformats.org/spreadsheetml/2006/main" count="182" uniqueCount="175">
  <si>
    <t>Revenue by District - Group Detail</t>
  </si>
  <si>
    <t>Total Local Revenue *</t>
  </si>
  <si>
    <t>State Unrestricted Grants-in-Aid</t>
  </si>
  <si>
    <t>State Restricted Grants-in-Aid</t>
  </si>
  <si>
    <t>State Revenue in Lieu of Taxes</t>
  </si>
  <si>
    <t>State Revenue for/on Behalf of LEA</t>
  </si>
  <si>
    <t>Total State Revenue</t>
  </si>
  <si>
    <t>Federal Unrestricted Grants-in-Aid</t>
  </si>
  <si>
    <t>Federal Restricted Grants-in-Aide</t>
  </si>
  <si>
    <t>Federal Revenue in Lieu of Taxes</t>
  </si>
  <si>
    <t>Federal Revenue for/on Behalf of LEA</t>
  </si>
  <si>
    <t>Total Federal Revenue</t>
  </si>
  <si>
    <t>Total Revenue</t>
  </si>
  <si>
    <t>FY 2010-2011</t>
  </si>
  <si>
    <t>LEA</t>
  </si>
  <si>
    <t>DISTRICT</t>
  </si>
  <si>
    <t>Group Code 1111</t>
  </si>
  <si>
    <t>Group Code 1121</t>
  </si>
  <si>
    <t>Group Code 1122</t>
  </si>
  <si>
    <t>Group Code 1123</t>
  </si>
  <si>
    <t>Group Code 1124</t>
  </si>
  <si>
    <t>Total</t>
  </si>
  <si>
    <t>Group Code 1131</t>
  </si>
  <si>
    <t>Group Code 1132</t>
  </si>
  <si>
    <t>Group Code 1133</t>
  </si>
  <si>
    <t>Group Code 1134</t>
  </si>
  <si>
    <t xml:space="preserve">Total 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</si>
  <si>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</si>
  <si>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</si>
  <si>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</si>
  <si>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</si>
  <si>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</si>
  <si>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</si>
  <si>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</si>
  <si>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</si>
  <si>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</si>
  <si>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</si>
  <si>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</si>
  <si>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</si>
  <si>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</si>
  <si>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</si>
  <si>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</si>
  <si>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</si>
  <si>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</si>
  <si>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</si>
  <si>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</si>
  <si>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</si>
  <si>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</si>
  <si>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</si>
  <si>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</si>
  <si>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</si>
  <si>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</si>
  <si>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</si>
  <si>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</si>
  <si>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</si>
  <si>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</si>
  <si>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</si>
  <si>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</si>
  <si>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</si>
  <si>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</si>
  <si>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</si>
  <si>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</si>
  <si>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</si>
  <si>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</si>
  <si>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</si>
  <si>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</si>
  <si>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</si>
  <si>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</si>
  <si>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</si>
  <si>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</si>
  <si>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Board*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</si>
  <si>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</si>
  <si>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</si>
  <si>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</si>
  <si>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</si>
  <si>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</si>
  <si>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</si>
  <si>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</si>
  <si>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Board*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</si>
  <si>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</si>
  <si>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</si>
  <si>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</si>
  <si>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</si>
  <si>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</si>
  <si>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</si>
  <si>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</si>
  <si>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</si>
  <si>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</si>
  <si>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</si>
  <si>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</si>
  <si>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</si>
  <si>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</si>
  <si>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</si>
  <si>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</si>
  <si>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</si>
  <si>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</si>
  <si>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Recovery School District (RSD OPERATED)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</si>
  <si>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</si>
  <si>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</si>
  <si>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</si>
  <si>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</si>
  <si>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</si>
  <si>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</si>
  <si>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</si>
  <si>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</si>
  <si>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</si>
  <si>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</si>
  <si>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</si>
  <si>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</si>
  <si>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</si>
  <si>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</si>
  <si>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</si>
  <si>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of New Orleans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</si>
  <si>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</si>
  <si>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</si>
  <si>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</si>
  <si>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</si>
  <si>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</si>
  <si>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</si>
  <si>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</si>
  <si>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</si>
  <si>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</si>
  <si>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</si>
  <si>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</si>
  <si>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</si>
  <si>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</si>
  <si>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</si>
  <si>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</si>
  <si>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</si>
  <si>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</si>
  <si>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</si>
  <si>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</si>
  <si>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</si>
  <si>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</si>
  <si>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</si>
  <si>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</si>
  <si>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</si>
  <si>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</si>
  <si>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</si>
  <si>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</si>
  <si>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</si>
  <si>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</si>
  <si>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</si>
  <si>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 xml:space="preserve">Abramson Science &amp; Technology Charter School 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</si>
  <si>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</si>
  <si>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</si>
  <si>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</si>
  <si>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</si>
  <si>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</si>
  <si>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</si>
  <si>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</si>
  <si>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</si>
  <si>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</si>
  <si>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</si>
  <si>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</si>
  <si>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</si>
  <si>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</si>
  <si>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</si>
  <si>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</si>
  <si>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</si>
  <si>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</si>
  <si>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</si>
  <si>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</si>
  <si>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</si>
  <si>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</si>
  <si>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</si>
  <si>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</si>
  <si>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</si>
  <si>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</si>
  <si>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</si>
  <si>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>Office of Juvenile Justice</t>
  </si>
  <si>
    <t>Total Office of Juvenile Justice Schools</t>
  </si>
  <si>
    <t>Total State</t>
  </si>
  <si>
    <t>* Excludes one-time Hurricane Related revenue</t>
  </si>
  <si>
    <t xml:space="preserve">*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</si>
</sst>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8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</cellStyleXfs>
  <cellXfs count="11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3" xfId="0" applyFont="1" applyBorder="1"/>
    <xf numFmtId="0" fontId="8" fillId="6" borderId="6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9" fillId="5" borderId="9" xfId="2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0" xfId="1" applyFont="1" applyFill="1" applyBorder="1" applyAlignment="1">
      <alignment horizontal="right" wrapText="1"/>
    </xf>
    <xf numFmtId="0" fontId="11" fillId="0" borderId="11" xfId="1" applyFont="1" applyFill="1" applyBorder="1" applyAlignment="1">
      <alignment wrapText="1"/>
    </xf>
    <xf numFmtId="164" fontId="11" fillId="7" borderId="12" xfId="3" applyNumberFormat="1" applyFont="1" applyFill="1" applyBorder="1"/>
    <xf numFmtId="6" fontId="11" fillId="0" borderId="13" xfId="1" applyNumberFormat="1" applyFont="1" applyFill="1" applyBorder="1" applyAlignment="1">
      <alignment horizontal="right" wrapText="1"/>
    </xf>
    <xf numFmtId="6" fontId="11" fillId="3" borderId="13" xfId="1" applyNumberFormat="1" applyFont="1" applyFill="1" applyBorder="1" applyAlignment="1">
      <alignment horizontal="right" wrapText="1"/>
    </xf>
    <xf numFmtId="6" fontId="11" fillId="4" borderId="13" xfId="1" applyNumberFormat="1" applyFont="1" applyFill="1" applyBorder="1" applyAlignment="1">
      <alignment horizontal="right" wrapText="1"/>
    </xf>
    <xf numFmtId="6" fontId="11" fillId="5" borderId="13" xfId="1" applyNumberFormat="1" applyFont="1" applyFill="1" applyBorder="1" applyAlignment="1">
      <alignment horizontal="right" wrapText="1"/>
    </xf>
    <xf numFmtId="0" fontId="11" fillId="0" borderId="14" xfId="1" applyFont="1" applyFill="1" applyBorder="1" applyAlignment="1">
      <alignment horizontal="right" wrapText="1"/>
    </xf>
    <xf numFmtId="164" fontId="11" fillId="7" borderId="15" xfId="3" applyNumberFormat="1" applyFont="1" applyFill="1" applyBorder="1"/>
    <xf numFmtId="6" fontId="11" fillId="0" borderId="11" xfId="1" applyNumberFormat="1" applyFont="1" applyFill="1" applyBorder="1" applyAlignment="1">
      <alignment horizontal="right" wrapText="1"/>
    </xf>
    <xf numFmtId="6" fontId="11" fillId="3" borderId="11" xfId="1" applyNumberFormat="1" applyFont="1" applyFill="1" applyBorder="1" applyAlignment="1">
      <alignment horizontal="right" wrapText="1"/>
    </xf>
    <xf numFmtId="6" fontId="11" fillId="4" borderId="11" xfId="1" applyNumberFormat="1" applyFont="1" applyFill="1" applyBorder="1" applyAlignment="1">
      <alignment horizontal="right" wrapText="1"/>
    </xf>
    <xf numFmtId="6" fontId="11" fillId="5" borderId="11" xfId="1" applyNumberFormat="1" applyFont="1" applyFill="1" applyBorder="1" applyAlignment="1">
      <alignment horizontal="right" wrapText="1"/>
    </xf>
    <xf numFmtId="0" fontId="11" fillId="0" borderId="16" xfId="1" applyFont="1" applyFill="1" applyBorder="1" applyAlignment="1">
      <alignment horizontal="right" wrapText="1"/>
    </xf>
    <xf numFmtId="0" fontId="11" fillId="0" borderId="9" xfId="1" applyFont="1" applyFill="1" applyBorder="1" applyAlignment="1">
      <alignment horizontal="left" wrapText="1"/>
    </xf>
    <xf numFmtId="164" fontId="11" fillId="7" borderId="17" xfId="3" applyNumberFormat="1" applyFont="1" applyFill="1" applyBorder="1"/>
    <xf numFmtId="6" fontId="11" fillId="0" borderId="9" xfId="1" applyNumberFormat="1" applyFont="1" applyFill="1" applyBorder="1" applyAlignment="1">
      <alignment horizontal="right" wrapText="1"/>
    </xf>
    <xf numFmtId="6" fontId="11" fillId="3" borderId="9" xfId="1" applyNumberFormat="1" applyFont="1" applyFill="1" applyBorder="1" applyAlignment="1">
      <alignment horizontal="right" wrapText="1"/>
    </xf>
    <xf numFmtId="6" fontId="11" fillId="4" borderId="9" xfId="1" applyNumberFormat="1" applyFont="1" applyFill="1" applyBorder="1" applyAlignment="1">
      <alignment horizontal="right" wrapText="1"/>
    </xf>
    <xf numFmtId="6" fontId="4" fillId="5" borderId="9" xfId="0" applyNumberFormat="1" applyFont="1" applyFill="1" applyBorder="1" applyAlignment="1">
      <alignment horizontal="right"/>
    </xf>
    <xf numFmtId="0" fontId="11" fillId="0" borderId="13" xfId="1" applyFont="1" applyFill="1" applyBorder="1" applyAlignment="1">
      <alignment wrapText="1"/>
    </xf>
    <xf numFmtId="164" fontId="11" fillId="7" borderId="18" xfId="3" applyNumberFormat="1" applyFont="1" applyFill="1" applyBorder="1"/>
    <xf numFmtId="0" fontId="4" fillId="0" borderId="0" xfId="0" applyFont="1" applyBorder="1"/>
    <xf numFmtId="0" fontId="11" fillId="0" borderId="11" xfId="4" applyFont="1" applyFill="1" applyBorder="1" applyAlignment="1">
      <alignment horizontal="right" wrapText="1"/>
    </xf>
    <xf numFmtId="0" fontId="5" fillId="0" borderId="19" xfId="0" applyFont="1" applyBorder="1" applyAlignment="1">
      <alignment horizontal="left"/>
    </xf>
    <xf numFmtId="0" fontId="12" fillId="0" borderId="2" xfId="1" applyFont="1" applyFill="1" applyBorder="1" applyAlignment="1">
      <alignment horizontal="left" wrapText="1"/>
    </xf>
    <xf numFmtId="6" fontId="5" fillId="2" borderId="2" xfId="0" applyNumberFormat="1" applyFont="1" applyFill="1" applyBorder="1" applyAlignment="1">
      <alignment horizontal="right"/>
    </xf>
    <xf numFmtId="6" fontId="5" fillId="0" borderId="2" xfId="0" applyNumberFormat="1" applyFont="1" applyFill="1" applyBorder="1" applyAlignment="1">
      <alignment horizontal="right"/>
    </xf>
    <xf numFmtId="6" fontId="5" fillId="3" borderId="2" xfId="0" applyNumberFormat="1" applyFont="1" applyFill="1" applyBorder="1" applyAlignment="1">
      <alignment horizontal="right"/>
    </xf>
    <xf numFmtId="6" fontId="5" fillId="4" borderId="2" xfId="0" applyNumberFormat="1" applyFont="1" applyFill="1" applyBorder="1" applyAlignment="1">
      <alignment horizontal="right"/>
    </xf>
    <xf numFmtId="6" fontId="5" fillId="5" borderId="2" xfId="0" applyNumberFormat="1" applyFont="1" applyFill="1" applyBorder="1" applyAlignment="1">
      <alignment horizontal="right"/>
    </xf>
    <xf numFmtId="0" fontId="4" fillId="6" borderId="20" xfId="0" applyFont="1" applyFill="1" applyBorder="1"/>
    <xf numFmtId="0" fontId="4" fillId="6" borderId="21" xfId="0" applyFont="1" applyFill="1" applyBorder="1"/>
    <xf numFmtId="6" fontId="4" fillId="6" borderId="21" xfId="0" applyNumberFormat="1" applyFont="1" applyFill="1" applyBorder="1" applyAlignment="1">
      <alignment horizontal="right"/>
    </xf>
    <xf numFmtId="6" fontId="4" fillId="6" borderId="22" xfId="0" applyNumberFormat="1" applyFont="1" applyFill="1" applyBorder="1" applyAlignment="1">
      <alignment horizontal="right"/>
    </xf>
    <xf numFmtId="6" fontId="4" fillId="6" borderId="20" xfId="0" applyNumberFormat="1" applyFont="1" applyFill="1" applyBorder="1" applyAlignment="1">
      <alignment horizontal="right"/>
    </xf>
    <xf numFmtId="0" fontId="11" fillId="0" borderId="10" xfId="1" applyFont="1" applyFill="1" applyBorder="1" applyAlignment="1">
      <alignment horizontal="left" wrapText="1"/>
    </xf>
    <xf numFmtId="164" fontId="11" fillId="7" borderId="13" xfId="1" applyNumberFormat="1" applyFont="1" applyFill="1" applyBorder="1" applyAlignment="1">
      <alignment horizontal="right" wrapText="1"/>
    </xf>
    <xf numFmtId="0" fontId="11" fillId="0" borderId="16" xfId="1" applyFont="1" applyFill="1" applyBorder="1" applyAlignment="1">
      <alignment horizontal="left" wrapText="1"/>
    </xf>
    <xf numFmtId="164" fontId="11" fillId="7" borderId="9" xfId="1" applyNumberFormat="1" applyFont="1" applyFill="1" applyBorder="1" applyAlignment="1">
      <alignment horizontal="right" wrapText="1"/>
    </xf>
    <xf numFmtId="6" fontId="11" fillId="5" borderId="9" xfId="1" applyNumberFormat="1" applyFont="1" applyFill="1" applyBorder="1" applyAlignment="1">
      <alignment horizontal="right" wrapText="1"/>
    </xf>
    <xf numFmtId="0" fontId="4" fillId="0" borderId="23" xfId="0" applyFont="1" applyBorder="1"/>
    <xf numFmtId="0" fontId="5" fillId="0" borderId="24" xfId="0" applyFont="1" applyBorder="1" applyAlignment="1">
      <alignment horizontal="left"/>
    </xf>
    <xf numFmtId="6" fontId="5" fillId="2" borderId="17" xfId="0" applyNumberFormat="1" applyFont="1" applyFill="1" applyBorder="1" applyAlignment="1">
      <alignment horizontal="right"/>
    </xf>
    <xf numFmtId="6" fontId="5" fillId="0" borderId="16" xfId="0" applyNumberFormat="1" applyFont="1" applyFill="1" applyBorder="1" applyAlignment="1">
      <alignment horizontal="right"/>
    </xf>
    <xf numFmtId="6" fontId="5" fillId="3" borderId="16" xfId="0" applyNumberFormat="1" applyFont="1" applyFill="1" applyBorder="1" applyAlignment="1">
      <alignment horizontal="right"/>
    </xf>
    <xf numFmtId="6" fontId="5" fillId="0" borderId="24" xfId="0" applyNumberFormat="1" applyFont="1" applyFill="1" applyBorder="1" applyAlignment="1">
      <alignment horizontal="right"/>
    </xf>
    <xf numFmtId="6" fontId="5" fillId="4" borderId="24" xfId="0" applyNumberFormat="1" applyFont="1" applyFill="1" applyBorder="1" applyAlignment="1">
      <alignment horizontal="right"/>
    </xf>
    <xf numFmtId="6" fontId="5" fillId="5" borderId="16" xfId="0" applyNumberFormat="1" applyFont="1" applyFill="1" applyBorder="1" applyAlignment="1">
      <alignment horizontal="right"/>
    </xf>
    <xf numFmtId="0" fontId="4" fillId="6" borderId="25" xfId="0" applyFont="1" applyFill="1" applyBorder="1"/>
    <xf numFmtId="0" fontId="4" fillId="6" borderId="26" xfId="0" applyFont="1" applyFill="1" applyBorder="1"/>
    <xf numFmtId="0" fontId="11" fillId="0" borderId="27" xfId="1" applyFont="1" applyFill="1" applyBorder="1" applyAlignment="1">
      <alignment horizontal="right" wrapText="1"/>
    </xf>
    <xf numFmtId="0" fontId="11" fillId="0" borderId="28" xfId="1" applyFont="1" applyFill="1" applyBorder="1" applyAlignment="1">
      <alignment horizontal="left" wrapText="1"/>
    </xf>
    <xf numFmtId="0" fontId="11" fillId="0" borderId="11" xfId="1" applyFont="1" applyFill="1" applyBorder="1" applyAlignment="1">
      <alignment horizontal="right" wrapText="1"/>
    </xf>
    <xf numFmtId="0" fontId="11" fillId="0" borderId="14" xfId="1" applyFont="1" applyFill="1" applyBorder="1" applyAlignment="1">
      <alignment horizontal="left" wrapText="1"/>
    </xf>
    <xf numFmtId="164" fontId="11" fillId="7" borderId="11" xfId="1" applyNumberFormat="1" applyFont="1" applyFill="1" applyBorder="1" applyAlignment="1">
      <alignment horizontal="right" wrapText="1"/>
    </xf>
    <xf numFmtId="0" fontId="11" fillId="0" borderId="9" xfId="1" applyFont="1" applyFill="1" applyBorder="1" applyAlignment="1">
      <alignment horizontal="right" wrapText="1"/>
    </xf>
    <xf numFmtId="0" fontId="11" fillId="0" borderId="13" xfId="1" applyFont="1" applyFill="1" applyBorder="1" applyAlignment="1">
      <alignment horizontal="right" wrapText="1"/>
    </xf>
    <xf numFmtId="0" fontId="11" fillId="8" borderId="11" xfId="1" applyFont="1" applyFill="1" applyBorder="1" applyAlignment="1">
      <alignment horizontal="right" wrapText="1"/>
    </xf>
    <xf numFmtId="0" fontId="11" fillId="8" borderId="11" xfId="1" applyFont="1" applyFill="1" applyBorder="1" applyAlignment="1">
      <alignment wrapText="1"/>
    </xf>
    <xf numFmtId="0" fontId="11" fillId="8" borderId="9" xfId="1" applyFont="1" applyFill="1" applyBorder="1" applyAlignment="1">
      <alignment horizontal="right" wrapText="1"/>
    </xf>
    <xf numFmtId="0" fontId="11" fillId="8" borderId="9" xfId="1" applyFont="1" applyFill="1" applyBorder="1" applyAlignment="1">
      <alignment wrapText="1"/>
    </xf>
    <xf numFmtId="0" fontId="11" fillId="0" borderId="11" xfId="1" applyFont="1" applyFill="1" applyBorder="1" applyAlignment="1">
      <alignment horizontal="left" wrapText="1"/>
    </xf>
    <xf numFmtId="0" fontId="11" fillId="0" borderId="9" xfId="1" applyFont="1" applyFill="1" applyBorder="1" applyAlignment="1">
      <alignment wrapText="1"/>
    </xf>
    <xf numFmtId="0" fontId="5" fillId="0" borderId="23" xfId="0" applyFont="1" applyBorder="1"/>
    <xf numFmtId="6" fontId="5" fillId="2" borderId="9" xfId="0" applyNumberFormat="1" applyFont="1" applyFill="1" applyBorder="1" applyAlignment="1">
      <alignment horizontal="right"/>
    </xf>
    <xf numFmtId="6" fontId="5" fillId="0" borderId="9" xfId="0" applyNumberFormat="1" applyFont="1" applyFill="1" applyBorder="1" applyAlignment="1">
      <alignment horizontal="right"/>
    </xf>
    <xf numFmtId="6" fontId="5" fillId="3" borderId="9" xfId="0" applyNumberFormat="1" applyFont="1" applyFill="1" applyBorder="1" applyAlignment="1">
      <alignment horizontal="right"/>
    </xf>
    <xf numFmtId="6" fontId="5" fillId="4" borderId="9" xfId="0" applyNumberFormat="1" applyFont="1" applyFill="1" applyBorder="1" applyAlignment="1">
      <alignment horizontal="right"/>
    </xf>
    <xf numFmtId="6" fontId="5" fillId="5" borderId="29" xfId="0" applyNumberFormat="1" applyFont="1" applyFill="1" applyBorder="1" applyAlignment="1">
      <alignment horizontal="right"/>
    </xf>
    <xf numFmtId="0" fontId="5" fillId="0" borderId="0" xfId="0" applyFont="1"/>
    <xf numFmtId="0" fontId="4" fillId="6" borderId="30" xfId="0" applyFont="1" applyFill="1" applyBorder="1"/>
    <xf numFmtId="0" fontId="4" fillId="6" borderId="31" xfId="0" applyFont="1" applyFill="1" applyBorder="1"/>
    <xf numFmtId="6" fontId="4" fillId="6" borderId="31" xfId="0" applyNumberFormat="1" applyFont="1" applyFill="1" applyBorder="1" applyAlignment="1">
      <alignment horizontal="right"/>
    </xf>
    <xf numFmtId="6" fontId="4" fillId="6" borderId="32" xfId="0" applyNumberFormat="1" applyFont="1" applyFill="1" applyBorder="1" applyAlignment="1">
      <alignment horizontal="right"/>
    </xf>
    <xf numFmtId="6" fontId="4" fillId="6" borderId="30" xfId="0" applyNumberFormat="1" applyFont="1" applyFill="1" applyBorder="1" applyAlignment="1">
      <alignment horizontal="right"/>
    </xf>
    <xf numFmtId="0" fontId="11" fillId="0" borderId="2" xfId="1" applyFont="1" applyFill="1" applyBorder="1" applyAlignment="1">
      <alignment horizontal="right" wrapText="1"/>
    </xf>
    <xf numFmtId="0" fontId="11" fillId="0" borderId="19" xfId="1" applyFont="1" applyFill="1" applyBorder="1" applyAlignment="1">
      <alignment horizontal="left" wrapText="1"/>
    </xf>
    <xf numFmtId="164" fontId="11" fillId="7" borderId="2" xfId="1" applyNumberFormat="1" applyFont="1" applyFill="1" applyBorder="1" applyAlignment="1">
      <alignment horizontal="right" wrapText="1"/>
    </xf>
    <xf numFmtId="6" fontId="11" fillId="0" borderId="2" xfId="1" applyNumberFormat="1" applyFont="1" applyFill="1" applyBorder="1" applyAlignment="1">
      <alignment horizontal="right" wrapText="1"/>
    </xf>
    <xf numFmtId="6" fontId="11" fillId="3" borderId="2" xfId="1" applyNumberFormat="1" applyFont="1" applyFill="1" applyBorder="1" applyAlignment="1">
      <alignment horizontal="right" wrapText="1"/>
    </xf>
    <xf numFmtId="6" fontId="11" fillId="4" borderId="2" xfId="1" applyNumberFormat="1" applyFont="1" applyFill="1" applyBorder="1" applyAlignment="1">
      <alignment horizontal="right" wrapText="1"/>
    </xf>
    <xf numFmtId="6" fontId="11" fillId="5" borderId="2" xfId="1" applyNumberFormat="1" applyFont="1" applyFill="1" applyBorder="1" applyAlignment="1">
      <alignment horizontal="right" wrapText="1"/>
    </xf>
    <xf numFmtId="6" fontId="5" fillId="9" borderId="9" xfId="0" applyNumberFormat="1" applyFont="1" applyFill="1" applyBorder="1" applyAlignment="1">
      <alignment horizontal="right"/>
    </xf>
    <xf numFmtId="0" fontId="5" fillId="0" borderId="33" xfId="0" applyFont="1" applyBorder="1"/>
    <xf numFmtId="0" fontId="5" fillId="0" borderId="34" xfId="0" applyFont="1" applyBorder="1" applyAlignment="1">
      <alignment horizontal="left"/>
    </xf>
    <xf numFmtId="6" fontId="5" fillId="2" borderId="35" xfId="0" applyNumberFormat="1" applyFont="1" applyFill="1" applyBorder="1" applyAlignment="1">
      <alignment horizontal="right"/>
    </xf>
    <xf numFmtId="6" fontId="5" fillId="0" borderId="35" xfId="0" applyNumberFormat="1" applyFont="1" applyFill="1" applyBorder="1" applyAlignment="1">
      <alignment horizontal="right"/>
    </xf>
    <xf numFmtId="6" fontId="5" fillId="3" borderId="35" xfId="0" applyNumberFormat="1" applyFont="1" applyFill="1" applyBorder="1" applyAlignment="1">
      <alignment horizontal="right"/>
    </xf>
    <xf numFmtId="6" fontId="5" fillId="0" borderId="35" xfId="0" applyNumberFormat="1" applyFont="1" applyBorder="1" applyAlignment="1">
      <alignment horizontal="right"/>
    </xf>
    <xf numFmtId="6" fontId="5" fillId="4" borderId="36" xfId="0" applyNumberFormat="1" applyFont="1" applyFill="1" applyBorder="1" applyAlignment="1">
      <alignment horizontal="right"/>
    </xf>
    <xf numFmtId="6" fontId="5" fillId="5" borderId="35" xfId="0" applyNumberFormat="1" applyFont="1" applyFill="1" applyBorder="1" applyAlignment="1">
      <alignment horizontal="right"/>
    </xf>
    <xf numFmtId="38" fontId="4" fillId="0" borderId="0" xfId="5" applyNumberFormat="1" applyFont="1" applyFill="1" applyAlignment="1">
      <alignment horizontal="left" vertical="top" wrapText="1"/>
    </xf>
    <xf numFmtId="6" fontId="4" fillId="0" borderId="0" xfId="0" applyNumberFormat="1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8" fontId="4" fillId="0" borderId="0" xfId="5" applyNumberFormat="1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38" fontId="4" fillId="0" borderId="0" xfId="0" applyNumberFormat="1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</cellXfs>
  <cellStyles count="24">
    <cellStyle name="Comma 2" xfId="6"/>
    <cellStyle name="Comma 4" xfId="7"/>
    <cellStyle name="Comma 9" xfId="8"/>
    <cellStyle name="Normal" xfId="0" builtinId="0"/>
    <cellStyle name="Normal 10 2" xfId="9"/>
    <cellStyle name="Normal 16" xfId="5"/>
    <cellStyle name="Normal 16 2" xfId="10"/>
    <cellStyle name="Normal 19 2" xfId="11"/>
    <cellStyle name="Normal 2 2" xfId="12"/>
    <cellStyle name="Normal 2 3" xfId="13"/>
    <cellStyle name="Normal 2 4" xfId="14"/>
    <cellStyle name="Normal 3 2" xfId="15"/>
    <cellStyle name="Normal 33" xfId="16"/>
    <cellStyle name="Normal 4 2" xfId="17"/>
    <cellStyle name="Normal 4 3" xfId="18"/>
    <cellStyle name="Normal 4 4" xfId="19"/>
    <cellStyle name="Normal 4 5" xfId="20"/>
    <cellStyle name="Normal 4 6" xfId="21"/>
    <cellStyle name="Normal 7 2" xfId="22"/>
    <cellStyle name="Normal 8 2" xfId="23"/>
    <cellStyle name="Normal_Revenue" xfId="2"/>
    <cellStyle name="Normal_Sheet1" xfId="1"/>
    <cellStyle name="Normal_Sheet1_pp total exp by district" xfId="4"/>
    <cellStyle name="Normal_Total Revenu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Revenue/3-FY10-11%20Revenue%20by%20Gro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Transfers%20of%20Local%20Revenues_FY2010-11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by Group_Object"/>
      <sheetName val="AFR Data"/>
      <sheetName val="Hurricane Data"/>
      <sheetName val="Local Transfers"/>
    </sheetNames>
    <sheetDataSet>
      <sheetData sheetId="0"/>
      <sheetData sheetId="1"/>
      <sheetData sheetId="2">
        <row r="6">
          <cell r="L6">
            <v>-900893</v>
          </cell>
        </row>
        <row r="7">
          <cell r="L7">
            <v>30518120</v>
          </cell>
        </row>
        <row r="8">
          <cell r="L8">
            <v>52914154</v>
          </cell>
        </row>
        <row r="9">
          <cell r="L9">
            <v>4346052</v>
          </cell>
        </row>
        <row r="12">
          <cell r="L12">
            <v>44650</v>
          </cell>
        </row>
        <row r="13">
          <cell r="L13">
            <v>84115249</v>
          </cell>
        </row>
      </sheetData>
      <sheetData sheetId="3">
        <row r="7">
          <cell r="I7">
            <v>-2030</v>
          </cell>
        </row>
        <row r="8">
          <cell r="I8">
            <v>-2632</v>
          </cell>
        </row>
        <row r="9">
          <cell r="I9">
            <v>-690</v>
          </cell>
        </row>
        <row r="10">
          <cell r="I10">
            <v>-8529</v>
          </cell>
        </row>
        <row r="11">
          <cell r="I11">
            <v>-6104</v>
          </cell>
        </row>
        <row r="12">
          <cell r="I12">
            <v>-7895</v>
          </cell>
        </row>
        <row r="14">
          <cell r="I14">
            <v>-11506</v>
          </cell>
        </row>
        <row r="15">
          <cell r="I15">
            <v>-2489916.8199999998</v>
          </cell>
        </row>
        <row r="16">
          <cell r="I16">
            <v>-26099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-1205</v>
          </cell>
        </row>
        <row r="20">
          <cell r="I20">
            <v>-1029</v>
          </cell>
        </row>
        <row r="21">
          <cell r="I21">
            <v>-4701</v>
          </cell>
        </row>
        <row r="22">
          <cell r="I22">
            <v>-14775</v>
          </cell>
        </row>
        <row r="23">
          <cell r="I23">
            <v>-13526903.771974545</v>
          </cell>
        </row>
        <row r="24">
          <cell r="I24">
            <v>-1143</v>
          </cell>
        </row>
        <row r="25">
          <cell r="I25">
            <v>0</v>
          </cell>
        </row>
        <row r="26">
          <cell r="I26">
            <v>-19835</v>
          </cell>
        </row>
        <row r="27">
          <cell r="I27">
            <v>-19098</v>
          </cell>
        </row>
        <row r="28">
          <cell r="I28">
            <v>-3768</v>
          </cell>
        </row>
        <row r="29">
          <cell r="I29">
            <v>-25325</v>
          </cell>
        </row>
        <row r="30">
          <cell r="I30">
            <v>-34752</v>
          </cell>
        </row>
        <row r="31">
          <cell r="I31">
            <v>0</v>
          </cell>
        </row>
        <row r="32">
          <cell r="I32">
            <v>-255563.26624999999</v>
          </cell>
        </row>
        <row r="33">
          <cell r="I33">
            <v>-1660</v>
          </cell>
        </row>
        <row r="34">
          <cell r="I34">
            <v>-48582</v>
          </cell>
        </row>
        <row r="35">
          <cell r="I35">
            <v>-48166</v>
          </cell>
        </row>
        <row r="36">
          <cell r="I36">
            <v>0</v>
          </cell>
        </row>
        <row r="37">
          <cell r="I37">
            <v>-27269.834999999999</v>
          </cell>
        </row>
        <row r="38">
          <cell r="I38">
            <v>-4569</v>
          </cell>
        </row>
        <row r="39">
          <cell r="I39">
            <v>-19124</v>
          </cell>
        </row>
        <row r="40">
          <cell r="I40">
            <v>-8415</v>
          </cell>
        </row>
        <row r="41">
          <cell r="I41">
            <v>-9029</v>
          </cell>
        </row>
        <row r="42">
          <cell r="I42">
            <v>-111375536.49124999</v>
          </cell>
        </row>
        <row r="43">
          <cell r="I43">
            <v>-25245.58</v>
          </cell>
        </row>
        <row r="44">
          <cell r="I44">
            <v>0</v>
          </cell>
        </row>
        <row r="45">
          <cell r="I45">
            <v>-1179622.720786517</v>
          </cell>
        </row>
        <row r="46">
          <cell r="I46">
            <v>-24840</v>
          </cell>
        </row>
        <row r="47">
          <cell r="I47">
            <v>-1285</v>
          </cell>
        </row>
        <row r="48">
          <cell r="I48">
            <v>-10107</v>
          </cell>
        </row>
        <row r="49">
          <cell r="I49">
            <v>-9875</v>
          </cell>
        </row>
        <row r="50">
          <cell r="I50">
            <v>-10294</v>
          </cell>
        </row>
        <row r="51">
          <cell r="I51">
            <v>-8966</v>
          </cell>
        </row>
        <row r="52">
          <cell r="I52">
            <v>-419447</v>
          </cell>
        </row>
        <row r="53">
          <cell r="I53">
            <v>0</v>
          </cell>
        </row>
        <row r="54">
          <cell r="I54">
            <v>-5663</v>
          </cell>
        </row>
        <row r="55">
          <cell r="I55">
            <v>-20203</v>
          </cell>
        </row>
        <row r="56">
          <cell r="I56">
            <v>-8908</v>
          </cell>
        </row>
        <row r="57">
          <cell r="I57">
            <v>-20921</v>
          </cell>
        </row>
        <row r="58">
          <cell r="I58">
            <v>-46824.182500000003</v>
          </cell>
        </row>
        <row r="59">
          <cell r="I59">
            <v>-14894</v>
          </cell>
        </row>
        <row r="60">
          <cell r="I60">
            <v>0</v>
          </cell>
        </row>
        <row r="61">
          <cell r="I61">
            <v>-18973</v>
          </cell>
        </row>
        <row r="62">
          <cell r="I62">
            <v>-879450.20499999996</v>
          </cell>
        </row>
        <row r="63">
          <cell r="I63">
            <v>-14425</v>
          </cell>
        </row>
        <row r="64">
          <cell r="I64">
            <v>-787</v>
          </cell>
        </row>
        <row r="65">
          <cell r="I65">
            <v>-4263</v>
          </cell>
        </row>
        <row r="66">
          <cell r="I66">
            <v>-7331</v>
          </cell>
        </row>
        <row r="67">
          <cell r="I67">
            <v>-19763</v>
          </cell>
        </row>
        <row r="68">
          <cell r="I68">
            <v>-1069</v>
          </cell>
        </row>
        <row r="69">
          <cell r="I69">
            <v>-2640</v>
          </cell>
        </row>
        <row r="70">
          <cell r="I70">
            <v>-2567</v>
          </cell>
        </row>
        <row r="71">
          <cell r="I71">
            <v>-33556</v>
          </cell>
        </row>
        <row r="72">
          <cell r="I72">
            <v>-4676</v>
          </cell>
        </row>
        <row r="73">
          <cell r="I73">
            <v>-6756.1612500000001</v>
          </cell>
        </row>
        <row r="74">
          <cell r="I74">
            <v>-19663.612499999999</v>
          </cell>
        </row>
        <row r="75">
          <cell r="I75">
            <v>-7913.27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 Revenue Transfers"/>
      <sheetName val="RSD Detail"/>
      <sheetName val="June 2011 Allocation_Orleans"/>
      <sheetName val="March 2011 Alloc_RSDLA"/>
      <sheetName val="Table 5C1 - Madison Prep"/>
      <sheetName val="Table 5C2 - D'Arbonne"/>
      <sheetName val="Table 5C3 - VIBE"/>
      <sheetName val="Table 5D_OJJ Final"/>
    </sheetNames>
    <sheetDataSet>
      <sheetData sheetId="0">
        <row r="13">
          <cell r="I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O162" sqref="O162"/>
    </sheetView>
  </sheetViews>
  <sheetFormatPr defaultRowHeight="12.75" x14ac:dyDescent="0.2"/>
  <cols>
    <col min="1" max="1" width="6.140625" style="4" customWidth="1"/>
    <col min="2" max="2" width="42" style="5" customWidth="1"/>
    <col min="3" max="3" width="13.5703125" style="4" customWidth="1"/>
    <col min="4" max="4" width="13.42578125" style="4" customWidth="1"/>
    <col min="5" max="5" width="12.5703125" style="4" customWidth="1"/>
    <col min="6" max="6" width="11.85546875" style="4" customWidth="1"/>
    <col min="7" max="7" width="12.5703125" style="4" customWidth="1"/>
    <col min="8" max="8" width="13.140625" style="4" customWidth="1"/>
    <col min="9" max="9" width="15" style="4" customWidth="1"/>
    <col min="10" max="10" width="14.5703125" style="4" customWidth="1"/>
    <col min="11" max="11" width="12.7109375" style="4" customWidth="1"/>
    <col min="12" max="12" width="15.140625" style="4" customWidth="1"/>
    <col min="13" max="13" width="16.5703125" style="4" customWidth="1"/>
    <col min="14" max="14" width="16.7109375" style="4" customWidth="1"/>
    <col min="15" max="15" width="22.5703125" style="4" customWidth="1"/>
    <col min="16" max="17" width="9.140625" style="4" hidden="1" customWidth="1"/>
    <col min="18" max="16384" width="9.140625" style="4"/>
  </cols>
  <sheetData>
    <row r="1" spans="1:17" ht="54.75" customHeight="1" x14ac:dyDescent="0.2">
      <c r="A1" s="1"/>
      <c r="B1" s="1"/>
      <c r="C1" s="111" t="s">
        <v>0</v>
      </c>
      <c r="D1" s="111"/>
      <c r="E1" s="111"/>
      <c r="F1" s="111"/>
      <c r="G1" s="111"/>
      <c r="H1" s="111" t="s">
        <v>0</v>
      </c>
      <c r="I1" s="111"/>
      <c r="J1" s="111"/>
      <c r="K1" s="111"/>
      <c r="L1" s="111"/>
      <c r="M1" s="2" t="s">
        <v>0</v>
      </c>
      <c r="N1" s="2"/>
      <c r="O1" s="1"/>
      <c r="P1" s="3"/>
      <c r="Q1" s="3"/>
    </row>
    <row r="2" spans="1:17" x14ac:dyDescent="0.2">
      <c r="C2" s="112" t="s">
        <v>1</v>
      </c>
      <c r="D2" s="113" t="s">
        <v>2</v>
      </c>
      <c r="E2" s="113" t="s">
        <v>3</v>
      </c>
      <c r="F2" s="113" t="s">
        <v>4</v>
      </c>
      <c r="G2" s="113" t="s">
        <v>5</v>
      </c>
      <c r="H2" s="114" t="s">
        <v>6</v>
      </c>
      <c r="I2" s="113" t="s">
        <v>7</v>
      </c>
      <c r="J2" s="113" t="s">
        <v>8</v>
      </c>
      <c r="K2" s="113" t="s">
        <v>9</v>
      </c>
      <c r="L2" s="113" t="s">
        <v>10</v>
      </c>
      <c r="M2" s="116" t="s">
        <v>11</v>
      </c>
      <c r="N2" s="117" t="s">
        <v>12</v>
      </c>
      <c r="O2" s="6"/>
    </row>
    <row r="3" spans="1:17" ht="60" customHeight="1" x14ac:dyDescent="0.2">
      <c r="A3" s="108" t="s">
        <v>13</v>
      </c>
      <c r="B3" s="109"/>
      <c r="C3" s="112"/>
      <c r="D3" s="113"/>
      <c r="E3" s="113"/>
      <c r="F3" s="113"/>
      <c r="G3" s="113"/>
      <c r="H3" s="114"/>
      <c r="I3" s="113"/>
      <c r="J3" s="113"/>
      <c r="K3" s="113"/>
      <c r="L3" s="113"/>
      <c r="M3" s="116"/>
      <c r="N3" s="117"/>
    </row>
    <row r="4" spans="1:17" s="13" customFormat="1" ht="33" customHeight="1" x14ac:dyDescent="0.2">
      <c r="A4" s="7" t="s">
        <v>14</v>
      </c>
      <c r="B4" s="8" t="s">
        <v>15</v>
      </c>
      <c r="C4" s="9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21</v>
      </c>
      <c r="N4" s="12" t="s">
        <v>26</v>
      </c>
    </row>
    <row r="5" spans="1:17" x14ac:dyDescent="0.2">
      <c r="A5" s="14">
        <v>1</v>
      </c>
      <c r="B5" s="15" t="s">
        <v>27</v>
      </c>
      <c r="C5" s="16">
        <f>22322316+'[1]Local Transfers'!I7</f>
        <v>22320286</v>
      </c>
      <c r="D5" s="17">
        <v>49792448</v>
      </c>
      <c r="E5" s="17">
        <v>677045</v>
      </c>
      <c r="F5" s="17">
        <v>260369</v>
      </c>
      <c r="G5" s="17">
        <v>14915</v>
      </c>
      <c r="H5" s="18">
        <f>SUM(D5:G5)</f>
        <v>50744777</v>
      </c>
      <c r="I5" s="17">
        <v>0</v>
      </c>
      <c r="J5" s="17">
        <v>18066402</v>
      </c>
      <c r="K5" s="17">
        <v>0</v>
      </c>
      <c r="L5" s="17">
        <v>349393</v>
      </c>
      <c r="M5" s="19">
        <f>SUM(I5:L5)</f>
        <v>18415795</v>
      </c>
      <c r="N5" s="20">
        <f>C5+H5+M5</f>
        <v>91480858</v>
      </c>
    </row>
    <row r="6" spans="1:17" x14ac:dyDescent="0.2">
      <c r="A6" s="21">
        <v>2</v>
      </c>
      <c r="B6" s="15" t="s">
        <v>28</v>
      </c>
      <c r="C6" s="22">
        <f>13024697+'[1]Local Transfers'!I8</f>
        <v>13022065</v>
      </c>
      <c r="D6" s="23">
        <v>26547759</v>
      </c>
      <c r="E6" s="23">
        <v>653447</v>
      </c>
      <c r="F6" s="23">
        <v>99939</v>
      </c>
      <c r="G6" s="23">
        <v>4687</v>
      </c>
      <c r="H6" s="24">
        <f t="shared" ref="H6:H69" si="0">SUM(D6:G6)</f>
        <v>27305832</v>
      </c>
      <c r="I6" s="23">
        <v>0</v>
      </c>
      <c r="J6" s="23">
        <v>6492659</v>
      </c>
      <c r="K6" s="23">
        <v>0</v>
      </c>
      <c r="L6" s="23">
        <v>124960</v>
      </c>
      <c r="M6" s="25">
        <f t="shared" ref="M6:M69" si="1">SUM(I6:L6)</f>
        <v>6617619</v>
      </c>
      <c r="N6" s="26">
        <f t="shared" ref="N6:N69" si="2">C6+H6+M6</f>
        <v>46945516</v>
      </c>
    </row>
    <row r="7" spans="1:17" x14ac:dyDescent="0.2">
      <c r="A7" s="21">
        <v>3</v>
      </c>
      <c r="B7" s="15" t="s">
        <v>29</v>
      </c>
      <c r="C7" s="22">
        <f>99586709+'[1]Local Transfers'!I9</f>
        <v>99586019</v>
      </c>
      <c r="D7" s="23">
        <v>87251259</v>
      </c>
      <c r="E7" s="23">
        <v>2007244</v>
      </c>
      <c r="F7" s="23">
        <v>193863</v>
      </c>
      <c r="G7" s="23">
        <v>22509</v>
      </c>
      <c r="H7" s="24">
        <f t="shared" si="0"/>
        <v>89474875</v>
      </c>
      <c r="I7" s="23">
        <v>0</v>
      </c>
      <c r="J7" s="23">
        <v>23412004</v>
      </c>
      <c r="K7" s="23">
        <v>0</v>
      </c>
      <c r="L7" s="23">
        <v>481553</v>
      </c>
      <c r="M7" s="25">
        <f t="shared" si="1"/>
        <v>23893557</v>
      </c>
      <c r="N7" s="26">
        <f t="shared" si="2"/>
        <v>212954451</v>
      </c>
    </row>
    <row r="8" spans="1:17" x14ac:dyDescent="0.2">
      <c r="A8" s="21">
        <v>4</v>
      </c>
      <c r="B8" s="15" t="s">
        <v>30</v>
      </c>
      <c r="C8" s="22">
        <f>12464618+'[1]Local Transfers'!I10</f>
        <v>12456089</v>
      </c>
      <c r="D8" s="23">
        <v>22517007</v>
      </c>
      <c r="E8" s="23">
        <v>1123835</v>
      </c>
      <c r="F8" s="23">
        <v>110127</v>
      </c>
      <c r="G8" s="23">
        <v>3079</v>
      </c>
      <c r="H8" s="24">
        <f t="shared" si="0"/>
        <v>23754048</v>
      </c>
      <c r="I8" s="23">
        <v>0</v>
      </c>
      <c r="J8" s="23">
        <v>7762870</v>
      </c>
      <c r="K8" s="23">
        <v>0</v>
      </c>
      <c r="L8" s="23">
        <v>121527</v>
      </c>
      <c r="M8" s="25">
        <f t="shared" si="1"/>
        <v>7884397</v>
      </c>
      <c r="N8" s="26">
        <f t="shared" si="2"/>
        <v>44094534</v>
      </c>
    </row>
    <row r="9" spans="1:17" x14ac:dyDescent="0.2">
      <c r="A9" s="27">
        <v>5</v>
      </c>
      <c r="B9" s="28" t="s">
        <v>31</v>
      </c>
      <c r="C9" s="29">
        <f>9523301+'[1]Local Transfers'!I11</f>
        <v>9517197</v>
      </c>
      <c r="D9" s="30">
        <v>30482579</v>
      </c>
      <c r="E9" s="30">
        <v>713300</v>
      </c>
      <c r="F9" s="30">
        <v>215037</v>
      </c>
      <c r="G9" s="30">
        <v>16837</v>
      </c>
      <c r="H9" s="31">
        <f t="shared" si="0"/>
        <v>31427753</v>
      </c>
      <c r="I9" s="30">
        <v>6379</v>
      </c>
      <c r="J9" s="30">
        <v>11667168</v>
      </c>
      <c r="K9" s="30">
        <v>0</v>
      </c>
      <c r="L9" s="30">
        <v>174993</v>
      </c>
      <c r="M9" s="32">
        <f t="shared" si="1"/>
        <v>11848540</v>
      </c>
      <c r="N9" s="33">
        <f t="shared" si="2"/>
        <v>52793490</v>
      </c>
    </row>
    <row r="10" spans="1:17" x14ac:dyDescent="0.2">
      <c r="A10" s="14">
        <v>6</v>
      </c>
      <c r="B10" s="34" t="s">
        <v>32</v>
      </c>
      <c r="C10" s="35">
        <f>20363886+'[1]Local Transfers'!I12</f>
        <v>20355991</v>
      </c>
      <c r="D10" s="17">
        <v>35182223</v>
      </c>
      <c r="E10" s="17">
        <v>305736</v>
      </c>
      <c r="F10" s="17">
        <v>304408</v>
      </c>
      <c r="G10" s="17">
        <v>12323</v>
      </c>
      <c r="H10" s="18">
        <f t="shared" si="0"/>
        <v>35804690</v>
      </c>
      <c r="I10" s="17">
        <v>0</v>
      </c>
      <c r="J10" s="17">
        <v>7564400</v>
      </c>
      <c r="K10" s="17">
        <v>0</v>
      </c>
      <c r="L10" s="17">
        <v>159404</v>
      </c>
      <c r="M10" s="19">
        <f t="shared" si="1"/>
        <v>7723804</v>
      </c>
      <c r="N10" s="20">
        <f t="shared" si="2"/>
        <v>63884485</v>
      </c>
    </row>
    <row r="11" spans="1:17" x14ac:dyDescent="0.2">
      <c r="A11" s="21">
        <v>7</v>
      </c>
      <c r="B11" s="15" t="s">
        <v>33</v>
      </c>
      <c r="C11" s="22">
        <f>29759272+'[2]Local Revenue Transfers'!$I$13</f>
        <v>29759272</v>
      </c>
      <c r="D11" s="23">
        <v>5768041</v>
      </c>
      <c r="E11" s="23">
        <v>244723</v>
      </c>
      <c r="F11" s="23">
        <v>136358</v>
      </c>
      <c r="G11" s="23">
        <v>9299</v>
      </c>
      <c r="H11" s="24">
        <f t="shared" si="0"/>
        <v>6158421</v>
      </c>
      <c r="I11" s="23">
        <v>384307</v>
      </c>
      <c r="J11" s="23">
        <v>3931829</v>
      </c>
      <c r="K11" s="23">
        <v>0</v>
      </c>
      <c r="L11" s="23">
        <v>55124</v>
      </c>
      <c r="M11" s="25">
        <f t="shared" si="1"/>
        <v>4371260</v>
      </c>
      <c r="N11" s="26">
        <f t="shared" si="2"/>
        <v>40288953</v>
      </c>
    </row>
    <row r="12" spans="1:17" x14ac:dyDescent="0.2">
      <c r="A12" s="21">
        <v>8</v>
      </c>
      <c r="B12" s="15" t="s">
        <v>34</v>
      </c>
      <c r="C12" s="22">
        <f>96618578+'[1]Local Transfers'!I14</f>
        <v>96607072</v>
      </c>
      <c r="D12" s="23">
        <v>95943900</v>
      </c>
      <c r="E12" s="23">
        <v>1680342</v>
      </c>
      <c r="F12" s="23">
        <v>567361</v>
      </c>
      <c r="G12" s="23">
        <v>31841</v>
      </c>
      <c r="H12" s="24">
        <f t="shared" si="0"/>
        <v>98223444</v>
      </c>
      <c r="I12" s="23">
        <v>724598</v>
      </c>
      <c r="J12" s="23">
        <v>25598852</v>
      </c>
      <c r="K12" s="23">
        <v>7521</v>
      </c>
      <c r="L12" s="23">
        <v>525960</v>
      </c>
      <c r="M12" s="25">
        <f t="shared" si="1"/>
        <v>26856931</v>
      </c>
      <c r="N12" s="26">
        <f t="shared" si="2"/>
        <v>221687447</v>
      </c>
    </row>
    <row r="13" spans="1:17" x14ac:dyDescent="0.2">
      <c r="A13" s="21">
        <v>9</v>
      </c>
      <c r="B13" s="15" t="s">
        <v>35</v>
      </c>
      <c r="C13" s="22">
        <f>203294281+'[1]Local Transfers'!I15</f>
        <v>200804364.18000001</v>
      </c>
      <c r="D13" s="23">
        <v>201088497</v>
      </c>
      <c r="E13" s="23">
        <v>3172448</v>
      </c>
      <c r="F13" s="23">
        <v>2279566</v>
      </c>
      <c r="G13" s="23">
        <v>77569</v>
      </c>
      <c r="H13" s="24">
        <f t="shared" si="0"/>
        <v>206618080</v>
      </c>
      <c r="I13" s="23">
        <v>9841</v>
      </c>
      <c r="J13" s="23">
        <v>75226502</v>
      </c>
      <c r="K13" s="23">
        <v>41137</v>
      </c>
      <c r="L13" s="23">
        <v>137779</v>
      </c>
      <c r="M13" s="25">
        <f t="shared" si="1"/>
        <v>75415259</v>
      </c>
      <c r="N13" s="26">
        <f t="shared" si="2"/>
        <v>482837703.18000001</v>
      </c>
    </row>
    <row r="14" spans="1:17" x14ac:dyDescent="0.2">
      <c r="A14" s="27">
        <v>10</v>
      </c>
      <c r="B14" s="28" t="s">
        <v>36</v>
      </c>
      <c r="C14" s="29">
        <f>144798193+'[1]Local Transfers'!I16</f>
        <v>144772094</v>
      </c>
      <c r="D14" s="30">
        <v>144032907</v>
      </c>
      <c r="E14" s="30">
        <v>3225031</v>
      </c>
      <c r="F14" s="30">
        <v>952782</v>
      </c>
      <c r="G14" s="30">
        <v>67338</v>
      </c>
      <c r="H14" s="31">
        <f t="shared" si="0"/>
        <v>148278058</v>
      </c>
      <c r="I14" s="30"/>
      <c r="J14" s="30">
        <v>52658652</v>
      </c>
      <c r="K14" s="30"/>
      <c r="L14" s="30">
        <v>310735</v>
      </c>
      <c r="M14" s="32">
        <f t="shared" si="1"/>
        <v>52969387</v>
      </c>
      <c r="N14" s="33">
        <f t="shared" si="2"/>
        <v>346019539</v>
      </c>
    </row>
    <row r="15" spans="1:17" x14ac:dyDescent="0.2">
      <c r="A15" s="14">
        <v>11</v>
      </c>
      <c r="B15" s="15" t="s">
        <v>37</v>
      </c>
      <c r="C15" s="16">
        <f>5677980+'[1]Local Transfers'!I17</f>
        <v>5677980</v>
      </c>
      <c r="D15" s="17">
        <v>11235158</v>
      </c>
      <c r="E15" s="17">
        <v>228209</v>
      </c>
      <c r="F15" s="17">
        <v>80288</v>
      </c>
      <c r="G15" s="17">
        <v>5395</v>
      </c>
      <c r="H15" s="18">
        <f t="shared" si="0"/>
        <v>11549050</v>
      </c>
      <c r="I15" s="17">
        <v>0</v>
      </c>
      <c r="J15" s="17">
        <v>2780500</v>
      </c>
      <c r="K15" s="17">
        <v>0</v>
      </c>
      <c r="L15" s="17">
        <v>45797</v>
      </c>
      <c r="M15" s="19">
        <f t="shared" si="1"/>
        <v>2826297</v>
      </c>
      <c r="N15" s="20">
        <f t="shared" si="2"/>
        <v>20053327</v>
      </c>
    </row>
    <row r="16" spans="1:17" x14ac:dyDescent="0.2">
      <c r="A16" s="21">
        <v>12</v>
      </c>
      <c r="B16" s="15" t="s">
        <v>38</v>
      </c>
      <c r="C16" s="22">
        <f>15066540+'[1]Local Transfers'!I18</f>
        <v>15066540</v>
      </c>
      <c r="D16" s="23">
        <v>3552055</v>
      </c>
      <c r="E16" s="23">
        <v>172220</v>
      </c>
      <c r="F16" s="23">
        <v>47991</v>
      </c>
      <c r="G16" s="23">
        <v>3401</v>
      </c>
      <c r="H16" s="24">
        <f t="shared" si="0"/>
        <v>3775667</v>
      </c>
      <c r="I16" s="23">
        <v>0</v>
      </c>
      <c r="J16" s="23">
        <v>13080573</v>
      </c>
      <c r="K16" s="23">
        <v>0</v>
      </c>
      <c r="L16" s="23">
        <v>48914</v>
      </c>
      <c r="M16" s="25">
        <f t="shared" si="1"/>
        <v>13129487</v>
      </c>
      <c r="N16" s="26">
        <f t="shared" si="2"/>
        <v>31971694</v>
      </c>
    </row>
    <row r="17" spans="1:14" x14ac:dyDescent="0.2">
      <c r="A17" s="21">
        <v>13</v>
      </c>
      <c r="B17" s="15" t="s">
        <v>39</v>
      </c>
      <c r="C17" s="22">
        <f>4196624+'[1]Local Transfers'!I19</f>
        <v>4195419</v>
      </c>
      <c r="D17" s="23">
        <v>9583127</v>
      </c>
      <c r="E17" s="23">
        <v>241177</v>
      </c>
      <c r="F17" s="23">
        <v>51523</v>
      </c>
      <c r="G17" s="23">
        <v>5798</v>
      </c>
      <c r="H17" s="24">
        <f t="shared" si="0"/>
        <v>9881625</v>
      </c>
      <c r="I17" s="23">
        <v>0</v>
      </c>
      <c r="J17" s="23">
        <v>3492789</v>
      </c>
      <c r="K17" s="23">
        <v>1719</v>
      </c>
      <c r="L17" s="23">
        <v>48592</v>
      </c>
      <c r="M17" s="25">
        <f t="shared" si="1"/>
        <v>3543100</v>
      </c>
      <c r="N17" s="26">
        <f t="shared" si="2"/>
        <v>17620144</v>
      </c>
    </row>
    <row r="18" spans="1:14" x14ac:dyDescent="0.2">
      <c r="A18" s="21">
        <v>14</v>
      </c>
      <c r="B18" s="15" t="s">
        <v>40</v>
      </c>
      <c r="C18" s="22">
        <f>7597523+'[1]Local Transfers'!I20</f>
        <v>7596494</v>
      </c>
      <c r="D18" s="23">
        <v>13039376</v>
      </c>
      <c r="E18" s="23">
        <v>185145</v>
      </c>
      <c r="F18" s="23">
        <v>115141</v>
      </c>
      <c r="G18" s="23">
        <v>5218</v>
      </c>
      <c r="H18" s="24">
        <f t="shared" si="0"/>
        <v>13344880</v>
      </c>
      <c r="I18" s="23">
        <v>0</v>
      </c>
      <c r="J18" s="23">
        <v>4190384</v>
      </c>
      <c r="K18" s="23">
        <v>40798</v>
      </c>
      <c r="L18" s="23">
        <v>75273</v>
      </c>
      <c r="M18" s="25">
        <f t="shared" si="1"/>
        <v>4306455</v>
      </c>
      <c r="N18" s="26">
        <f t="shared" si="2"/>
        <v>25247829</v>
      </c>
    </row>
    <row r="19" spans="1:14" x14ac:dyDescent="0.2">
      <c r="A19" s="27">
        <v>15</v>
      </c>
      <c r="B19" s="28" t="s">
        <v>41</v>
      </c>
      <c r="C19" s="29">
        <f>10785059+'[1]Local Transfers'!I21</f>
        <v>10780358</v>
      </c>
      <c r="D19" s="30">
        <v>21350566</v>
      </c>
      <c r="E19" s="30">
        <v>605689</v>
      </c>
      <c r="F19" s="30">
        <v>144429</v>
      </c>
      <c r="G19" s="30">
        <v>6568</v>
      </c>
      <c r="H19" s="31">
        <f t="shared" si="0"/>
        <v>22107252</v>
      </c>
      <c r="I19" s="30">
        <v>0</v>
      </c>
      <c r="J19" s="30">
        <v>7427436</v>
      </c>
      <c r="K19" s="30">
        <v>0</v>
      </c>
      <c r="L19" s="30">
        <v>123493</v>
      </c>
      <c r="M19" s="32">
        <f t="shared" si="1"/>
        <v>7550929</v>
      </c>
      <c r="N19" s="33">
        <f t="shared" si="2"/>
        <v>40438539</v>
      </c>
    </row>
    <row r="20" spans="1:14" x14ac:dyDescent="0.2">
      <c r="A20" s="14">
        <v>16</v>
      </c>
      <c r="B20" s="34" t="s">
        <v>42</v>
      </c>
      <c r="C20" s="35">
        <f>98560766+'[1]Local Transfers'!I22</f>
        <v>98545991</v>
      </c>
      <c r="D20" s="17">
        <v>19975412</v>
      </c>
      <c r="E20" s="17">
        <v>814094</v>
      </c>
      <c r="F20" s="17">
        <v>298155</v>
      </c>
      <c r="G20" s="17">
        <v>10540</v>
      </c>
      <c r="H20" s="18">
        <f t="shared" si="0"/>
        <v>21098201</v>
      </c>
      <c r="I20" s="17">
        <v>838141</v>
      </c>
      <c r="J20" s="17">
        <v>8298739</v>
      </c>
      <c r="K20" s="17">
        <v>5333</v>
      </c>
      <c r="L20" s="17">
        <v>149442</v>
      </c>
      <c r="M20" s="19">
        <f t="shared" si="1"/>
        <v>9291655</v>
      </c>
      <c r="N20" s="20">
        <f t="shared" si="2"/>
        <v>128935847</v>
      </c>
    </row>
    <row r="21" spans="1:14" x14ac:dyDescent="0.2">
      <c r="A21" s="21">
        <v>17</v>
      </c>
      <c r="B21" s="15" t="s">
        <v>43</v>
      </c>
      <c r="C21" s="22">
        <f>294406216+'[1]Local Transfers'!I23</f>
        <v>280879312.22802544</v>
      </c>
      <c r="D21" s="23">
        <v>157040275</v>
      </c>
      <c r="E21" s="23">
        <v>5103119</v>
      </c>
      <c r="F21" s="23">
        <v>4091169</v>
      </c>
      <c r="G21" s="23">
        <v>119403</v>
      </c>
      <c r="H21" s="24">
        <f t="shared" si="0"/>
        <v>166353966</v>
      </c>
      <c r="I21" s="23">
        <v>0</v>
      </c>
      <c r="J21" s="23">
        <v>97393723</v>
      </c>
      <c r="K21" s="23">
        <v>0</v>
      </c>
      <c r="L21" s="23">
        <v>1170535</v>
      </c>
      <c r="M21" s="25">
        <f t="shared" si="1"/>
        <v>98564258</v>
      </c>
      <c r="N21" s="26">
        <f t="shared" si="2"/>
        <v>545797536.22802544</v>
      </c>
    </row>
    <row r="22" spans="1:14" x14ac:dyDescent="0.2">
      <c r="A22" s="21">
        <v>18</v>
      </c>
      <c r="B22" s="15" t="s">
        <v>44</v>
      </c>
      <c r="C22" s="22">
        <f>2647172+'[1]Local Transfers'!I24</f>
        <v>2646029</v>
      </c>
      <c r="D22" s="23">
        <v>7487276</v>
      </c>
      <c r="E22" s="23">
        <v>327913</v>
      </c>
      <c r="F22" s="23">
        <v>18408</v>
      </c>
      <c r="G22" s="23">
        <v>15014</v>
      </c>
      <c r="H22" s="24">
        <f t="shared" si="0"/>
        <v>7848611</v>
      </c>
      <c r="I22" s="23">
        <v>0</v>
      </c>
      <c r="J22" s="23">
        <v>3790629</v>
      </c>
      <c r="K22" s="23">
        <v>0</v>
      </c>
      <c r="L22" s="23">
        <v>45394</v>
      </c>
      <c r="M22" s="25">
        <f t="shared" si="1"/>
        <v>3836023</v>
      </c>
      <c r="N22" s="26">
        <f t="shared" si="2"/>
        <v>14330663</v>
      </c>
    </row>
    <row r="23" spans="1:14" x14ac:dyDescent="0.2">
      <c r="A23" s="21">
        <v>19</v>
      </c>
      <c r="B23" s="15" t="s">
        <v>45</v>
      </c>
      <c r="C23" s="22">
        <f>4948112+'[1]Local Transfers'!I25</f>
        <v>4948112</v>
      </c>
      <c r="D23" s="23">
        <v>11630129</v>
      </c>
      <c r="E23" s="23">
        <v>590059</v>
      </c>
      <c r="F23" s="23">
        <v>76022</v>
      </c>
      <c r="G23" s="23">
        <v>6263</v>
      </c>
      <c r="H23" s="24">
        <f t="shared" si="0"/>
        <v>12302473</v>
      </c>
      <c r="I23" s="23"/>
      <c r="J23" s="23">
        <v>4980263</v>
      </c>
      <c r="K23" s="23"/>
      <c r="L23" s="23"/>
      <c r="M23" s="25">
        <f t="shared" si="1"/>
        <v>4980263</v>
      </c>
      <c r="N23" s="26">
        <f t="shared" si="2"/>
        <v>22230848</v>
      </c>
    </row>
    <row r="24" spans="1:14" x14ac:dyDescent="0.2">
      <c r="A24" s="27">
        <v>20</v>
      </c>
      <c r="B24" s="28" t="s">
        <v>46</v>
      </c>
      <c r="C24" s="29">
        <f>13921618+'[1]Local Transfers'!I26</f>
        <v>13901783</v>
      </c>
      <c r="D24" s="30">
        <v>33357163</v>
      </c>
      <c r="E24" s="30">
        <v>508069</v>
      </c>
      <c r="F24" s="30">
        <v>225446</v>
      </c>
      <c r="G24" s="30">
        <v>8302</v>
      </c>
      <c r="H24" s="31">
        <f t="shared" si="0"/>
        <v>34098980</v>
      </c>
      <c r="I24" s="30">
        <v>0</v>
      </c>
      <c r="J24" s="30">
        <v>12260517</v>
      </c>
      <c r="K24" s="30">
        <v>0</v>
      </c>
      <c r="L24" s="30">
        <v>0</v>
      </c>
      <c r="M24" s="32">
        <f t="shared" si="1"/>
        <v>12260517</v>
      </c>
      <c r="N24" s="33">
        <f t="shared" si="2"/>
        <v>60261280</v>
      </c>
    </row>
    <row r="25" spans="1:14" x14ac:dyDescent="0.2">
      <c r="A25" s="14">
        <v>21</v>
      </c>
      <c r="B25" s="15" t="s">
        <v>47</v>
      </c>
      <c r="C25" s="16">
        <f>6686532+'[1]Local Transfers'!I27</f>
        <v>6667434</v>
      </c>
      <c r="D25" s="17">
        <v>17543186</v>
      </c>
      <c r="E25" s="17">
        <v>432283</v>
      </c>
      <c r="F25" s="17">
        <v>72708</v>
      </c>
      <c r="G25" s="17">
        <v>11867</v>
      </c>
      <c r="H25" s="18">
        <f t="shared" si="0"/>
        <v>18060044</v>
      </c>
      <c r="I25" s="17">
        <v>0</v>
      </c>
      <c r="J25" s="17">
        <v>8742937</v>
      </c>
      <c r="K25" s="17">
        <v>0</v>
      </c>
      <c r="L25" s="17">
        <v>91568</v>
      </c>
      <c r="M25" s="19">
        <f t="shared" si="1"/>
        <v>8834505</v>
      </c>
      <c r="N25" s="20">
        <f t="shared" si="2"/>
        <v>33561983</v>
      </c>
    </row>
    <row r="26" spans="1:14" x14ac:dyDescent="0.2">
      <c r="A26" s="21">
        <v>22</v>
      </c>
      <c r="B26" s="15" t="s">
        <v>48</v>
      </c>
      <c r="C26" s="22">
        <f>5816750+'[1]Local Transfers'!I28</f>
        <v>5812982</v>
      </c>
      <c r="D26" s="23">
        <v>20270069</v>
      </c>
      <c r="E26" s="23">
        <v>480659</v>
      </c>
      <c r="F26" s="23">
        <v>105059</v>
      </c>
      <c r="G26" s="23">
        <v>2015</v>
      </c>
      <c r="H26" s="24">
        <f t="shared" si="0"/>
        <v>20857802</v>
      </c>
      <c r="I26" s="23">
        <v>0</v>
      </c>
      <c r="J26" s="23">
        <v>4357674</v>
      </c>
      <c r="K26" s="23">
        <v>292066</v>
      </c>
      <c r="L26" s="23">
        <v>110666</v>
      </c>
      <c r="M26" s="25">
        <f t="shared" si="1"/>
        <v>4760406</v>
      </c>
      <c r="N26" s="26">
        <f t="shared" si="2"/>
        <v>31431190</v>
      </c>
    </row>
    <row r="27" spans="1:14" x14ac:dyDescent="0.2">
      <c r="A27" s="21">
        <v>23</v>
      </c>
      <c r="B27" s="15" t="s">
        <v>49</v>
      </c>
      <c r="C27" s="22">
        <f>46031945+'[1]Local Transfers'!I29</f>
        <v>46006620</v>
      </c>
      <c r="D27" s="23">
        <v>70524855</v>
      </c>
      <c r="E27" s="23">
        <v>1507806</v>
      </c>
      <c r="F27" s="23">
        <v>506689</v>
      </c>
      <c r="G27" s="23">
        <v>41634</v>
      </c>
      <c r="H27" s="24">
        <f t="shared" si="0"/>
        <v>72580984</v>
      </c>
      <c r="I27" s="23">
        <v>501443</v>
      </c>
      <c r="J27" s="23">
        <v>24386964</v>
      </c>
      <c r="K27" s="23">
        <v>0</v>
      </c>
      <c r="L27" s="23">
        <v>411028</v>
      </c>
      <c r="M27" s="25">
        <f t="shared" si="1"/>
        <v>25299435</v>
      </c>
      <c r="N27" s="26">
        <f t="shared" si="2"/>
        <v>143887039</v>
      </c>
    </row>
    <row r="28" spans="1:14" x14ac:dyDescent="0.2">
      <c r="A28" s="21">
        <v>24</v>
      </c>
      <c r="B28" s="15" t="s">
        <v>50</v>
      </c>
      <c r="C28" s="22">
        <f>45274937+'[1]Local Transfers'!I30</f>
        <v>45240185</v>
      </c>
      <c r="D28" s="23">
        <v>14820043</v>
      </c>
      <c r="E28" s="23">
        <v>627813</v>
      </c>
      <c r="F28" s="23">
        <v>142222</v>
      </c>
      <c r="G28" s="23">
        <v>9111</v>
      </c>
      <c r="H28" s="24">
        <f t="shared" si="0"/>
        <v>15599189</v>
      </c>
      <c r="I28" s="23">
        <v>0</v>
      </c>
      <c r="J28" s="23">
        <v>8424272</v>
      </c>
      <c r="K28" s="23">
        <v>0</v>
      </c>
      <c r="L28" s="23">
        <v>-19354</v>
      </c>
      <c r="M28" s="25">
        <f t="shared" si="1"/>
        <v>8404918</v>
      </c>
      <c r="N28" s="26">
        <f t="shared" si="2"/>
        <v>69244292</v>
      </c>
    </row>
    <row r="29" spans="1:14" x14ac:dyDescent="0.2">
      <c r="A29" s="27">
        <v>25</v>
      </c>
      <c r="B29" s="28" t="s">
        <v>51</v>
      </c>
      <c r="C29" s="29">
        <f>13540752+'[1]Local Transfers'!I31</f>
        <v>13540752</v>
      </c>
      <c r="D29" s="30">
        <v>10189057</v>
      </c>
      <c r="E29" s="30">
        <v>226923</v>
      </c>
      <c r="F29" s="30">
        <v>72885</v>
      </c>
      <c r="G29" s="30">
        <v>8640</v>
      </c>
      <c r="H29" s="31">
        <f t="shared" si="0"/>
        <v>10497505</v>
      </c>
      <c r="I29" s="30">
        <v>0</v>
      </c>
      <c r="J29" s="30">
        <v>3209912</v>
      </c>
      <c r="K29" s="30">
        <v>20656</v>
      </c>
      <c r="L29" s="30">
        <v>66001</v>
      </c>
      <c r="M29" s="32">
        <f t="shared" si="1"/>
        <v>3296569</v>
      </c>
      <c r="N29" s="33">
        <f t="shared" si="2"/>
        <v>27334826</v>
      </c>
    </row>
    <row r="30" spans="1:14" x14ac:dyDescent="0.2">
      <c r="A30" s="14">
        <v>26</v>
      </c>
      <c r="B30" s="34" t="s">
        <v>52</v>
      </c>
      <c r="C30" s="35">
        <f>275446443+'[1]Local Transfers'!I32</f>
        <v>275190879.73374999</v>
      </c>
      <c r="D30" s="17">
        <v>165395594</v>
      </c>
      <c r="E30" s="17">
        <v>6624014</v>
      </c>
      <c r="F30" s="17">
        <v>2185711</v>
      </c>
      <c r="G30" s="17">
        <v>139926</v>
      </c>
      <c r="H30" s="18">
        <f t="shared" si="0"/>
        <v>174345245</v>
      </c>
      <c r="I30" s="17">
        <v>7266582</v>
      </c>
      <c r="J30" s="17">
        <v>114095413</v>
      </c>
      <c r="K30" s="17"/>
      <c r="L30" s="17">
        <v>869187</v>
      </c>
      <c r="M30" s="19">
        <f t="shared" si="1"/>
        <v>122231182</v>
      </c>
      <c r="N30" s="20">
        <f t="shared" si="2"/>
        <v>571767306.73374999</v>
      </c>
    </row>
    <row r="31" spans="1:14" x14ac:dyDescent="0.2">
      <c r="A31" s="21">
        <v>27</v>
      </c>
      <c r="B31" s="15" t="s">
        <v>53</v>
      </c>
      <c r="C31" s="22">
        <f>18618659+'[1]Local Transfers'!I33</f>
        <v>18616999</v>
      </c>
      <c r="D31" s="23">
        <v>34425666</v>
      </c>
      <c r="E31" s="23">
        <v>733933</v>
      </c>
      <c r="F31" s="23">
        <v>302593</v>
      </c>
      <c r="G31" s="23">
        <v>9512</v>
      </c>
      <c r="H31" s="24">
        <f t="shared" si="0"/>
        <v>35471704</v>
      </c>
      <c r="I31" s="23">
        <v>0</v>
      </c>
      <c r="J31" s="23">
        <v>8772344</v>
      </c>
      <c r="K31" s="23">
        <v>0</v>
      </c>
      <c r="L31" s="23">
        <v>167617</v>
      </c>
      <c r="M31" s="25">
        <f t="shared" si="1"/>
        <v>8939961</v>
      </c>
      <c r="N31" s="26">
        <f t="shared" si="2"/>
        <v>63028664</v>
      </c>
    </row>
    <row r="32" spans="1:14" x14ac:dyDescent="0.2">
      <c r="A32" s="21">
        <v>28</v>
      </c>
      <c r="B32" s="15" t="s">
        <v>54</v>
      </c>
      <c r="C32" s="22">
        <f>157356522+'[1]Local Transfers'!I34</f>
        <v>157307940</v>
      </c>
      <c r="D32" s="23">
        <v>116261103</v>
      </c>
      <c r="E32" s="23">
        <v>1248477</v>
      </c>
      <c r="F32" s="23">
        <v>1973778</v>
      </c>
      <c r="G32" s="23">
        <v>45944</v>
      </c>
      <c r="H32" s="24">
        <f t="shared" si="0"/>
        <v>119529302</v>
      </c>
      <c r="I32" s="23">
        <v>0</v>
      </c>
      <c r="J32" s="23">
        <v>50223343</v>
      </c>
      <c r="K32" s="23">
        <v>0</v>
      </c>
      <c r="L32" s="23">
        <v>792808</v>
      </c>
      <c r="M32" s="25">
        <f t="shared" si="1"/>
        <v>51016151</v>
      </c>
      <c r="N32" s="26">
        <f t="shared" si="2"/>
        <v>327853393</v>
      </c>
    </row>
    <row r="33" spans="1:14" x14ac:dyDescent="0.2">
      <c r="A33" s="21">
        <v>29</v>
      </c>
      <c r="B33" s="15" t="s">
        <v>55</v>
      </c>
      <c r="C33" s="22">
        <f>65210521+'[1]Local Transfers'!I35</f>
        <v>65162355</v>
      </c>
      <c r="D33" s="23">
        <v>65264685</v>
      </c>
      <c r="E33" s="23">
        <v>1710905</v>
      </c>
      <c r="F33" s="23">
        <v>420710</v>
      </c>
      <c r="G33" s="23">
        <v>13366</v>
      </c>
      <c r="H33" s="24">
        <f t="shared" si="0"/>
        <v>67409666</v>
      </c>
      <c r="I33" s="23">
        <v>2542</v>
      </c>
      <c r="J33" s="23">
        <f>24980780-'[1]Hurricane Data'!L6</f>
        <v>25881673</v>
      </c>
      <c r="K33" s="23">
        <v>0</v>
      </c>
      <c r="L33" s="23">
        <v>420133</v>
      </c>
      <c r="M33" s="25">
        <f t="shared" si="1"/>
        <v>26304348</v>
      </c>
      <c r="N33" s="26">
        <f t="shared" si="2"/>
        <v>158876369</v>
      </c>
    </row>
    <row r="34" spans="1:14" x14ac:dyDescent="0.2">
      <c r="A34" s="27">
        <v>30</v>
      </c>
      <c r="B34" s="28" t="s">
        <v>56</v>
      </c>
      <c r="C34" s="29">
        <f>9532252+'[1]Local Transfers'!I36</f>
        <v>9532252</v>
      </c>
      <c r="D34" s="30">
        <v>15399207</v>
      </c>
      <c r="E34" s="30">
        <v>238731</v>
      </c>
      <c r="F34" s="30">
        <v>78328</v>
      </c>
      <c r="G34" s="30">
        <v>5673</v>
      </c>
      <c r="H34" s="31">
        <f t="shared" si="0"/>
        <v>15721939</v>
      </c>
      <c r="I34" s="30">
        <v>462915</v>
      </c>
      <c r="J34" s="30">
        <v>2994336</v>
      </c>
      <c r="K34" s="30">
        <v>1666</v>
      </c>
      <c r="L34" s="30">
        <v>78121</v>
      </c>
      <c r="M34" s="32">
        <f t="shared" si="1"/>
        <v>3537038</v>
      </c>
      <c r="N34" s="33">
        <f t="shared" si="2"/>
        <v>28791229</v>
      </c>
    </row>
    <row r="35" spans="1:14" x14ac:dyDescent="0.2">
      <c r="A35" s="14">
        <v>31</v>
      </c>
      <c r="B35" s="15" t="s">
        <v>57</v>
      </c>
      <c r="C35" s="16">
        <f>32322812+'[1]Local Transfers'!I37</f>
        <v>32295542.164999999</v>
      </c>
      <c r="D35" s="17">
        <v>29612519</v>
      </c>
      <c r="E35" s="17">
        <v>672007</v>
      </c>
      <c r="F35" s="17">
        <v>284511</v>
      </c>
      <c r="G35" s="17">
        <v>11443</v>
      </c>
      <c r="H35" s="18">
        <f t="shared" si="0"/>
        <v>30580480</v>
      </c>
      <c r="I35" s="17">
        <v>913</v>
      </c>
      <c r="J35" s="17">
        <v>9689278</v>
      </c>
      <c r="K35" s="17">
        <v>0</v>
      </c>
      <c r="L35" s="17">
        <v>139535</v>
      </c>
      <c r="M35" s="19">
        <f t="shared" si="1"/>
        <v>9829726</v>
      </c>
      <c r="N35" s="20">
        <f t="shared" si="2"/>
        <v>72705748.164999992</v>
      </c>
    </row>
    <row r="36" spans="1:14" x14ac:dyDescent="0.2">
      <c r="A36" s="21">
        <v>32</v>
      </c>
      <c r="B36" s="15" t="s">
        <v>58</v>
      </c>
      <c r="C36" s="22">
        <f>53937400+'[1]Local Transfers'!I38</f>
        <v>53932831</v>
      </c>
      <c r="D36" s="23">
        <v>140266581</v>
      </c>
      <c r="E36" s="23">
        <v>1542346</v>
      </c>
      <c r="F36" s="23">
        <v>894516</v>
      </c>
      <c r="G36" s="23">
        <v>16482</v>
      </c>
      <c r="H36" s="24">
        <f t="shared" si="0"/>
        <v>142719925</v>
      </c>
      <c r="I36" s="23">
        <v>0</v>
      </c>
      <c r="J36" s="23">
        <v>25504491</v>
      </c>
      <c r="K36" s="23">
        <v>0</v>
      </c>
      <c r="L36" s="23">
        <v>667214</v>
      </c>
      <c r="M36" s="25">
        <f t="shared" si="1"/>
        <v>26171705</v>
      </c>
      <c r="N36" s="26">
        <f t="shared" si="2"/>
        <v>222824461</v>
      </c>
    </row>
    <row r="37" spans="1:14" x14ac:dyDescent="0.2">
      <c r="A37" s="21">
        <v>33</v>
      </c>
      <c r="B37" s="15" t="s">
        <v>59</v>
      </c>
      <c r="C37" s="22">
        <f>6142018+'[1]Local Transfers'!I39</f>
        <v>6122894</v>
      </c>
      <c r="D37" s="23">
        <v>12322087</v>
      </c>
      <c r="E37" s="23">
        <v>230210</v>
      </c>
      <c r="F37" s="23">
        <v>38506</v>
      </c>
      <c r="G37" s="23">
        <v>9145</v>
      </c>
      <c r="H37" s="24">
        <f t="shared" si="0"/>
        <v>12599948</v>
      </c>
      <c r="I37" s="23">
        <v>0</v>
      </c>
      <c r="J37" s="23">
        <v>5420632</v>
      </c>
      <c r="K37" s="23">
        <v>0</v>
      </c>
      <c r="L37" s="23">
        <v>56417</v>
      </c>
      <c r="M37" s="25">
        <f t="shared" si="1"/>
        <v>5477049</v>
      </c>
      <c r="N37" s="26">
        <f t="shared" si="2"/>
        <v>24199891</v>
      </c>
    </row>
    <row r="38" spans="1:14" x14ac:dyDescent="0.2">
      <c r="A38" s="21">
        <v>34</v>
      </c>
      <c r="B38" s="15" t="s">
        <v>60</v>
      </c>
      <c r="C38" s="22">
        <f>12918592+'[1]Local Transfers'!I40</f>
        <v>12910177</v>
      </c>
      <c r="D38" s="23">
        <v>26844595</v>
      </c>
      <c r="E38" s="23">
        <v>413663</v>
      </c>
      <c r="F38" s="23">
        <v>198909</v>
      </c>
      <c r="G38" s="23">
        <v>7924</v>
      </c>
      <c r="H38" s="24">
        <f t="shared" si="0"/>
        <v>27465091</v>
      </c>
      <c r="I38" s="23">
        <v>0</v>
      </c>
      <c r="J38" s="23">
        <v>11464299</v>
      </c>
      <c r="K38" s="23">
        <v>0</v>
      </c>
      <c r="L38" s="23">
        <v>24541</v>
      </c>
      <c r="M38" s="25">
        <f t="shared" si="1"/>
        <v>11488840</v>
      </c>
      <c r="N38" s="26">
        <f t="shared" si="2"/>
        <v>51864108</v>
      </c>
    </row>
    <row r="39" spans="1:14" x14ac:dyDescent="0.2">
      <c r="A39" s="27">
        <v>35</v>
      </c>
      <c r="B39" s="28" t="s">
        <v>61</v>
      </c>
      <c r="C39" s="29">
        <f>23189490+'[1]Local Transfers'!I41</f>
        <v>23180461</v>
      </c>
      <c r="D39" s="30">
        <v>34739650</v>
      </c>
      <c r="E39" s="30">
        <v>690686</v>
      </c>
      <c r="F39" s="30">
        <v>212891</v>
      </c>
      <c r="G39" s="30">
        <v>59278</v>
      </c>
      <c r="H39" s="31">
        <f t="shared" si="0"/>
        <v>35702505</v>
      </c>
      <c r="I39" s="30">
        <v>0</v>
      </c>
      <c r="J39" s="30">
        <v>14288098</v>
      </c>
      <c r="K39" s="30">
        <v>478319</v>
      </c>
      <c r="L39" s="30">
        <v>75550</v>
      </c>
      <c r="M39" s="32">
        <f t="shared" si="1"/>
        <v>14841967</v>
      </c>
      <c r="N39" s="33">
        <f t="shared" si="2"/>
        <v>73724933</v>
      </c>
    </row>
    <row r="40" spans="1:14" x14ac:dyDescent="0.2">
      <c r="A40" s="14">
        <v>36</v>
      </c>
      <c r="B40" s="34" t="s">
        <v>62</v>
      </c>
      <c r="C40" s="35">
        <f>222968957+'[1]Local Transfers'!I42</f>
        <v>111593420.50875001</v>
      </c>
      <c r="D40" s="17">
        <v>40418412</v>
      </c>
      <c r="E40" s="17">
        <v>1699457</v>
      </c>
      <c r="F40" s="17">
        <v>2777950</v>
      </c>
      <c r="G40" s="17">
        <v>27214</v>
      </c>
      <c r="H40" s="18">
        <f t="shared" si="0"/>
        <v>44923033</v>
      </c>
      <c r="I40" s="17">
        <v>2688085</v>
      </c>
      <c r="J40" s="17">
        <v>48897023</v>
      </c>
      <c r="K40" s="17">
        <v>0</v>
      </c>
      <c r="L40" s="17">
        <v>228306</v>
      </c>
      <c r="M40" s="19">
        <f t="shared" si="1"/>
        <v>51813414</v>
      </c>
      <c r="N40" s="20">
        <f t="shared" si="2"/>
        <v>208329867.50875002</v>
      </c>
    </row>
    <row r="41" spans="1:14" x14ac:dyDescent="0.2">
      <c r="A41" s="21">
        <v>37</v>
      </c>
      <c r="B41" s="15" t="s">
        <v>63</v>
      </c>
      <c r="C41" s="22">
        <f>65589784+'[1]Local Transfers'!I43</f>
        <v>65564538.420000002</v>
      </c>
      <c r="D41" s="23">
        <v>112709549</v>
      </c>
      <c r="E41" s="23">
        <v>1956624</v>
      </c>
      <c r="F41" s="23">
        <v>825408</v>
      </c>
      <c r="G41" s="23">
        <v>50835</v>
      </c>
      <c r="H41" s="24">
        <f t="shared" si="0"/>
        <v>115542416</v>
      </c>
      <c r="I41" s="23">
        <v>0</v>
      </c>
      <c r="J41" s="23">
        <v>28699888</v>
      </c>
      <c r="K41" s="23">
        <v>0</v>
      </c>
      <c r="L41" s="23">
        <v>373111</v>
      </c>
      <c r="M41" s="25">
        <f t="shared" si="1"/>
        <v>29072999</v>
      </c>
      <c r="N41" s="26">
        <f t="shared" si="2"/>
        <v>210179953.42000002</v>
      </c>
    </row>
    <row r="42" spans="1:14" x14ac:dyDescent="0.2">
      <c r="A42" s="21">
        <v>38</v>
      </c>
      <c r="B42" s="15" t="s">
        <v>64</v>
      </c>
      <c r="C42" s="22">
        <f>44482847+'[1]Local Transfers'!I44</f>
        <v>44482847</v>
      </c>
      <c r="D42" s="23">
        <v>12070295</v>
      </c>
      <c r="E42" s="23">
        <v>249090</v>
      </c>
      <c r="F42" s="23">
        <v>88758</v>
      </c>
      <c r="G42" s="23">
        <v>5694</v>
      </c>
      <c r="H42" s="24">
        <f t="shared" si="0"/>
        <v>12413837</v>
      </c>
      <c r="I42" s="23">
        <v>66359</v>
      </c>
      <c r="J42" s="23">
        <f>36999291-'[1]Hurricane Data'!L7</f>
        <v>6481171</v>
      </c>
      <c r="K42" s="23">
        <v>0</v>
      </c>
      <c r="L42" s="23">
        <v>94354</v>
      </c>
      <c r="M42" s="25">
        <f t="shared" si="1"/>
        <v>6641884</v>
      </c>
      <c r="N42" s="26">
        <f t="shared" si="2"/>
        <v>63538568</v>
      </c>
    </row>
    <row r="43" spans="1:14" x14ac:dyDescent="0.2">
      <c r="A43" s="21">
        <v>39</v>
      </c>
      <c r="B43" s="15" t="s">
        <v>65</v>
      </c>
      <c r="C43" s="22">
        <f>12504256+'[1]Local Transfers'!I45</f>
        <v>11324633.279213483</v>
      </c>
      <c r="D43" s="23">
        <v>10634886</v>
      </c>
      <c r="E43" s="23">
        <v>469304</v>
      </c>
      <c r="F43" s="23">
        <v>147539</v>
      </c>
      <c r="G43" s="23">
        <v>9528</v>
      </c>
      <c r="H43" s="24">
        <f t="shared" si="0"/>
        <v>11261257</v>
      </c>
      <c r="I43" s="23"/>
      <c r="J43" s="23">
        <v>7128934</v>
      </c>
      <c r="K43" s="23">
        <v>0</v>
      </c>
      <c r="L43" s="23">
        <v>59328</v>
      </c>
      <c r="M43" s="25">
        <f t="shared" si="1"/>
        <v>7188262</v>
      </c>
      <c r="N43" s="26">
        <f t="shared" si="2"/>
        <v>29774152.279213481</v>
      </c>
    </row>
    <row r="44" spans="1:14" x14ac:dyDescent="0.2">
      <c r="A44" s="27">
        <v>40</v>
      </c>
      <c r="B44" s="28" t="s">
        <v>66</v>
      </c>
      <c r="C44" s="29">
        <f>71282759+'[1]Local Transfers'!I46</f>
        <v>71257919</v>
      </c>
      <c r="D44" s="30">
        <v>119672988</v>
      </c>
      <c r="E44" s="30">
        <v>2253052</v>
      </c>
      <c r="F44" s="30">
        <v>936144</v>
      </c>
      <c r="G44" s="30">
        <v>51229</v>
      </c>
      <c r="H44" s="31">
        <f t="shared" si="0"/>
        <v>122913413</v>
      </c>
      <c r="I44" s="30">
        <v>0</v>
      </c>
      <c r="J44" s="30">
        <v>37691570</v>
      </c>
      <c r="K44" s="30">
        <v>228567</v>
      </c>
      <c r="L44" s="30">
        <v>739651</v>
      </c>
      <c r="M44" s="32">
        <f t="shared" si="1"/>
        <v>38659788</v>
      </c>
      <c r="N44" s="33">
        <f t="shared" si="2"/>
        <v>232831120</v>
      </c>
    </row>
    <row r="45" spans="1:14" x14ac:dyDescent="0.2">
      <c r="A45" s="14">
        <v>41</v>
      </c>
      <c r="B45" s="15" t="s">
        <v>67</v>
      </c>
      <c r="C45" s="16">
        <f>25105280+'[1]Local Transfers'!I47</f>
        <v>25103995</v>
      </c>
      <c r="D45" s="17">
        <v>9422761</v>
      </c>
      <c r="E45" s="17">
        <v>219553</v>
      </c>
      <c r="F45" s="17">
        <v>47275</v>
      </c>
      <c r="G45" s="17">
        <v>5360</v>
      </c>
      <c r="H45" s="18">
        <f t="shared" si="0"/>
        <v>9694949</v>
      </c>
      <c r="I45" s="17">
        <v>0</v>
      </c>
      <c r="J45" s="17">
        <v>3323690</v>
      </c>
      <c r="K45" s="17">
        <v>0</v>
      </c>
      <c r="L45" s="17">
        <v>48587</v>
      </c>
      <c r="M45" s="19">
        <f t="shared" si="1"/>
        <v>3372277</v>
      </c>
      <c r="N45" s="20">
        <f t="shared" si="2"/>
        <v>38171221</v>
      </c>
    </row>
    <row r="46" spans="1:14" x14ac:dyDescent="0.2">
      <c r="A46" s="21">
        <v>42</v>
      </c>
      <c r="B46" s="15" t="s">
        <v>68</v>
      </c>
      <c r="C46" s="22">
        <f>10926824+'[1]Local Transfers'!I48</f>
        <v>10916717</v>
      </c>
      <c r="D46" s="23">
        <v>19995118</v>
      </c>
      <c r="E46" s="23">
        <v>354972</v>
      </c>
      <c r="F46" s="23">
        <v>190639</v>
      </c>
      <c r="G46" s="23">
        <v>9409</v>
      </c>
      <c r="H46" s="24">
        <f t="shared" si="0"/>
        <v>20550138</v>
      </c>
      <c r="I46" s="23">
        <v>0</v>
      </c>
      <c r="J46" s="23">
        <v>6695556</v>
      </c>
      <c r="K46" s="23">
        <v>0</v>
      </c>
      <c r="L46" s="23">
        <v>53307</v>
      </c>
      <c r="M46" s="25">
        <f t="shared" si="1"/>
        <v>6748863</v>
      </c>
      <c r="N46" s="26">
        <f t="shared" si="2"/>
        <v>38215718</v>
      </c>
    </row>
    <row r="47" spans="1:14" x14ac:dyDescent="0.2">
      <c r="A47" s="21">
        <v>43</v>
      </c>
      <c r="B47" s="15" t="s">
        <v>69</v>
      </c>
      <c r="C47" s="22">
        <f>22718136+'[1]Local Transfers'!I49</f>
        <v>22708261</v>
      </c>
      <c r="D47" s="23">
        <v>24801645</v>
      </c>
      <c r="E47" s="23">
        <v>1122209</v>
      </c>
      <c r="F47" s="23">
        <v>151429</v>
      </c>
      <c r="G47" s="23">
        <v>11292</v>
      </c>
      <c r="H47" s="24">
        <f t="shared" si="0"/>
        <v>26086575</v>
      </c>
      <c r="I47" s="23">
        <v>0</v>
      </c>
      <c r="J47" s="23">
        <v>10144266</v>
      </c>
      <c r="K47" s="23">
        <v>0</v>
      </c>
      <c r="L47" s="23">
        <v>122765</v>
      </c>
      <c r="M47" s="25">
        <f t="shared" si="1"/>
        <v>10267031</v>
      </c>
      <c r="N47" s="26">
        <f t="shared" si="2"/>
        <v>59061867</v>
      </c>
    </row>
    <row r="48" spans="1:14" x14ac:dyDescent="0.2">
      <c r="A48" s="21">
        <v>44</v>
      </c>
      <c r="B48" s="15" t="s">
        <v>70</v>
      </c>
      <c r="C48" s="22">
        <f>33716638+'[1]Local Transfers'!I50</f>
        <v>33706344</v>
      </c>
      <c r="D48" s="23">
        <v>27337249</v>
      </c>
      <c r="E48" s="23">
        <v>1403129</v>
      </c>
      <c r="F48" s="23">
        <v>26659</v>
      </c>
      <c r="G48" s="23">
        <v>12684</v>
      </c>
      <c r="H48" s="24">
        <f t="shared" si="0"/>
        <v>28779721</v>
      </c>
      <c r="I48" s="23">
        <v>0</v>
      </c>
      <c r="J48" s="23">
        <f>66816378-'[1]Hurricane Data'!L8</f>
        <v>13902224</v>
      </c>
      <c r="K48" s="23">
        <v>0</v>
      </c>
      <c r="L48" s="23">
        <v>113791</v>
      </c>
      <c r="M48" s="25">
        <f t="shared" si="1"/>
        <v>14016015</v>
      </c>
      <c r="N48" s="26">
        <f t="shared" si="2"/>
        <v>76502080</v>
      </c>
    </row>
    <row r="49" spans="1:14" x14ac:dyDescent="0.2">
      <c r="A49" s="27">
        <v>45</v>
      </c>
      <c r="B49" s="28" t="s">
        <v>71</v>
      </c>
      <c r="C49" s="29">
        <f>106747317+'[1]Local Transfers'!I51</f>
        <v>106738351</v>
      </c>
      <c r="D49" s="30">
        <v>28681925</v>
      </c>
      <c r="E49" s="30">
        <v>928622</v>
      </c>
      <c r="F49" s="30">
        <v>280719</v>
      </c>
      <c r="G49" s="30">
        <v>11094</v>
      </c>
      <c r="H49" s="31">
        <f t="shared" si="0"/>
        <v>29902360</v>
      </c>
      <c r="I49" s="30">
        <v>0</v>
      </c>
      <c r="J49" s="30">
        <v>13363035</v>
      </c>
      <c r="K49" s="30">
        <v>0</v>
      </c>
      <c r="L49" s="30">
        <v>276194</v>
      </c>
      <c r="M49" s="32">
        <f t="shared" si="1"/>
        <v>13639229</v>
      </c>
      <c r="N49" s="33">
        <f t="shared" si="2"/>
        <v>150279940</v>
      </c>
    </row>
    <row r="50" spans="1:14" x14ac:dyDescent="0.2">
      <c r="A50" s="14">
        <v>46</v>
      </c>
      <c r="B50" s="34" t="s">
        <v>72</v>
      </c>
      <c r="C50" s="35">
        <f>2183898+'[1]Local Transfers'!I52</f>
        <v>1764451</v>
      </c>
      <c r="D50" s="17">
        <v>4499768</v>
      </c>
      <c r="E50" s="17">
        <v>213260</v>
      </c>
      <c r="F50" s="17">
        <v>31608</v>
      </c>
      <c r="G50" s="17">
        <v>3724</v>
      </c>
      <c r="H50" s="18">
        <f t="shared" si="0"/>
        <v>4748360</v>
      </c>
      <c r="I50" s="17">
        <v>0</v>
      </c>
      <c r="J50" s="17">
        <v>2252384</v>
      </c>
      <c r="K50" s="17">
        <v>0</v>
      </c>
      <c r="L50" s="17">
        <v>39774</v>
      </c>
      <c r="M50" s="19">
        <f t="shared" si="1"/>
        <v>2292158</v>
      </c>
      <c r="N50" s="20">
        <f t="shared" si="2"/>
        <v>8804969</v>
      </c>
    </row>
    <row r="51" spans="1:14" x14ac:dyDescent="0.2">
      <c r="A51" s="21">
        <v>47</v>
      </c>
      <c r="B51" s="15" t="s">
        <v>73</v>
      </c>
      <c r="C51" s="22">
        <f>37335781+'[1]Local Transfers'!I53</f>
        <v>37335781</v>
      </c>
      <c r="D51" s="23">
        <v>16559445</v>
      </c>
      <c r="E51" s="23">
        <v>1419588</v>
      </c>
      <c r="F51" s="23">
        <v>58294</v>
      </c>
      <c r="G51" s="23">
        <v>5529</v>
      </c>
      <c r="H51" s="24">
        <f t="shared" si="0"/>
        <v>18042856</v>
      </c>
      <c r="I51" s="23">
        <v>0</v>
      </c>
      <c r="J51" s="23">
        <v>6747666</v>
      </c>
      <c r="K51" s="23">
        <v>0</v>
      </c>
      <c r="L51" s="23">
        <v>119105</v>
      </c>
      <c r="M51" s="25">
        <f t="shared" si="1"/>
        <v>6866771</v>
      </c>
      <c r="N51" s="26">
        <f t="shared" si="2"/>
        <v>62245408</v>
      </c>
    </row>
    <row r="52" spans="1:14" x14ac:dyDescent="0.2">
      <c r="A52" s="21">
        <v>48</v>
      </c>
      <c r="B52" s="15" t="s">
        <v>74</v>
      </c>
      <c r="C52" s="22">
        <f>33665488+'[1]Local Transfers'!I54</f>
        <v>33659825</v>
      </c>
      <c r="D52" s="23">
        <v>26174104</v>
      </c>
      <c r="E52" s="23">
        <v>724230</v>
      </c>
      <c r="F52" s="23">
        <v>207451</v>
      </c>
      <c r="G52" s="23">
        <v>9429</v>
      </c>
      <c r="H52" s="24">
        <f t="shared" si="0"/>
        <v>27115214</v>
      </c>
      <c r="I52" s="23">
        <v>1191140</v>
      </c>
      <c r="J52" s="23">
        <v>11523025</v>
      </c>
      <c r="K52" s="23">
        <v>0</v>
      </c>
      <c r="L52" s="23">
        <v>188917</v>
      </c>
      <c r="M52" s="25">
        <f t="shared" si="1"/>
        <v>12903082</v>
      </c>
      <c r="N52" s="26">
        <f t="shared" si="2"/>
        <v>73678121</v>
      </c>
    </row>
    <row r="53" spans="1:14" x14ac:dyDescent="0.2">
      <c r="A53" s="21">
        <v>49</v>
      </c>
      <c r="B53" s="15" t="s">
        <v>75</v>
      </c>
      <c r="C53" s="22">
        <f>35119497+'[1]Local Transfers'!I55</f>
        <v>35099294</v>
      </c>
      <c r="D53" s="23">
        <v>74031491</v>
      </c>
      <c r="E53" s="23">
        <v>1897107</v>
      </c>
      <c r="F53" s="23">
        <v>468511</v>
      </c>
      <c r="G53" s="23">
        <v>29542</v>
      </c>
      <c r="H53" s="24">
        <f t="shared" si="0"/>
        <v>76426651</v>
      </c>
      <c r="I53" s="23">
        <v>0</v>
      </c>
      <c r="J53" s="23">
        <v>34728264</v>
      </c>
      <c r="K53" s="23">
        <v>0</v>
      </c>
      <c r="L53" s="23">
        <v>372687</v>
      </c>
      <c r="M53" s="25">
        <f t="shared" si="1"/>
        <v>35100951</v>
      </c>
      <c r="N53" s="26">
        <f t="shared" si="2"/>
        <v>146626896</v>
      </c>
    </row>
    <row r="54" spans="1:14" x14ac:dyDescent="0.2">
      <c r="A54" s="27">
        <v>50</v>
      </c>
      <c r="B54" s="28" t="s">
        <v>76</v>
      </c>
      <c r="C54" s="29">
        <f>22779801+'[1]Local Transfers'!I56</f>
        <v>22770893</v>
      </c>
      <c r="D54" s="30">
        <v>45782271</v>
      </c>
      <c r="E54" s="30">
        <v>1346636</v>
      </c>
      <c r="F54" s="30">
        <v>267548</v>
      </c>
      <c r="G54" s="30">
        <v>18505</v>
      </c>
      <c r="H54" s="31">
        <f t="shared" si="0"/>
        <v>47414960</v>
      </c>
      <c r="I54" s="30">
        <v>0</v>
      </c>
      <c r="J54" s="30">
        <v>14737190</v>
      </c>
      <c r="K54" s="30">
        <v>0</v>
      </c>
      <c r="L54" s="30">
        <v>252698</v>
      </c>
      <c r="M54" s="32">
        <f t="shared" si="1"/>
        <v>14989888</v>
      </c>
      <c r="N54" s="33">
        <f t="shared" si="2"/>
        <v>85175741</v>
      </c>
    </row>
    <row r="55" spans="1:14" x14ac:dyDescent="0.2">
      <c r="A55" s="14">
        <v>51</v>
      </c>
      <c r="B55" s="15" t="s">
        <v>77</v>
      </c>
      <c r="C55" s="16">
        <f>40963213+'[1]Local Transfers'!I57</f>
        <v>40942292</v>
      </c>
      <c r="D55" s="17">
        <v>47255085</v>
      </c>
      <c r="E55" s="17">
        <v>726189</v>
      </c>
      <c r="F55" s="17">
        <v>362653</v>
      </c>
      <c r="G55" s="17">
        <v>13461</v>
      </c>
      <c r="H55" s="18">
        <f t="shared" si="0"/>
        <v>48357388</v>
      </c>
      <c r="I55" s="17">
        <v>0</v>
      </c>
      <c r="J55" s="17">
        <v>16054591</v>
      </c>
      <c r="K55" s="17">
        <v>0</v>
      </c>
      <c r="L55" s="17">
        <v>235077</v>
      </c>
      <c r="M55" s="19">
        <f t="shared" si="1"/>
        <v>16289668</v>
      </c>
      <c r="N55" s="20">
        <f t="shared" si="2"/>
        <v>105589348</v>
      </c>
    </row>
    <row r="56" spans="1:14" x14ac:dyDescent="0.2">
      <c r="A56" s="21">
        <v>52</v>
      </c>
      <c r="B56" s="15" t="s">
        <v>78</v>
      </c>
      <c r="C56" s="22">
        <f>190017717+'[1]Local Transfers'!I58</f>
        <v>189970892.8175</v>
      </c>
      <c r="D56" s="23">
        <v>198816443</v>
      </c>
      <c r="E56" s="23">
        <v>2779727</v>
      </c>
      <c r="F56" s="23">
        <v>1943649</v>
      </c>
      <c r="G56" s="23">
        <v>38640</v>
      </c>
      <c r="H56" s="24">
        <f t="shared" si="0"/>
        <v>203578459</v>
      </c>
      <c r="I56" s="23">
        <v>0</v>
      </c>
      <c r="J56" s="23">
        <f>50490105-'[1]Hurricane Data'!L9</f>
        <v>46144053</v>
      </c>
      <c r="K56" s="23">
        <v>0</v>
      </c>
      <c r="L56" s="23">
        <v>963133</v>
      </c>
      <c r="M56" s="25">
        <f t="shared" si="1"/>
        <v>47107186</v>
      </c>
      <c r="N56" s="26">
        <f t="shared" si="2"/>
        <v>440656537.8175</v>
      </c>
    </row>
    <row r="57" spans="1:14" x14ac:dyDescent="0.2">
      <c r="A57" s="21">
        <v>53</v>
      </c>
      <c r="B57" s="15" t="s">
        <v>79</v>
      </c>
      <c r="C57" s="22">
        <f>41295053+'[1]Local Transfers'!I59</f>
        <v>41280159</v>
      </c>
      <c r="D57" s="23">
        <v>99606884</v>
      </c>
      <c r="E57" s="23">
        <v>1772211</v>
      </c>
      <c r="F57" s="23">
        <v>130899</v>
      </c>
      <c r="G57" s="23">
        <v>17529</v>
      </c>
      <c r="H57" s="24">
        <f t="shared" si="0"/>
        <v>101527523</v>
      </c>
      <c r="I57" s="23">
        <v>0</v>
      </c>
      <c r="J57" s="23">
        <v>33637323</v>
      </c>
      <c r="K57" s="23">
        <v>0</v>
      </c>
      <c r="L57" s="23">
        <v>630687</v>
      </c>
      <c r="M57" s="25">
        <f t="shared" si="1"/>
        <v>34268010</v>
      </c>
      <c r="N57" s="26">
        <f t="shared" si="2"/>
        <v>177075692</v>
      </c>
    </row>
    <row r="58" spans="1:14" x14ac:dyDescent="0.2">
      <c r="A58" s="21">
        <v>54</v>
      </c>
      <c r="B58" s="15" t="s">
        <v>80</v>
      </c>
      <c r="C58" s="22">
        <f>2463690+'[1]Local Transfers'!I60</f>
        <v>2463690</v>
      </c>
      <c r="D58" s="23">
        <v>4259932</v>
      </c>
      <c r="E58" s="23">
        <v>116848</v>
      </c>
      <c r="F58" s="23">
        <v>24225</v>
      </c>
      <c r="G58" s="23">
        <v>5924</v>
      </c>
      <c r="H58" s="24">
        <f t="shared" si="0"/>
        <v>4406929</v>
      </c>
      <c r="I58" s="23">
        <v>0</v>
      </c>
      <c r="J58" s="23">
        <v>2406314</v>
      </c>
      <c r="K58" s="23">
        <v>16880</v>
      </c>
      <c r="L58" s="23">
        <v>26687</v>
      </c>
      <c r="M58" s="25">
        <f t="shared" si="1"/>
        <v>2449881</v>
      </c>
      <c r="N58" s="26">
        <f t="shared" si="2"/>
        <v>9320500</v>
      </c>
    </row>
    <row r="59" spans="1:14" x14ac:dyDescent="0.2">
      <c r="A59" s="27">
        <v>55</v>
      </c>
      <c r="B59" s="28" t="s">
        <v>81</v>
      </c>
      <c r="C59" s="29">
        <f>58138284+'[1]Local Transfers'!I61</f>
        <v>58119311</v>
      </c>
      <c r="D59" s="30">
        <v>82103137</v>
      </c>
      <c r="E59" s="30">
        <v>2261286</v>
      </c>
      <c r="F59" s="30">
        <v>232674</v>
      </c>
      <c r="G59" s="30">
        <v>27389</v>
      </c>
      <c r="H59" s="31">
        <f t="shared" si="0"/>
        <v>84624486</v>
      </c>
      <c r="I59" s="30">
        <v>0</v>
      </c>
      <c r="J59" s="30">
        <v>35264977</v>
      </c>
      <c r="K59" s="30">
        <v>0</v>
      </c>
      <c r="L59" s="30">
        <v>511875</v>
      </c>
      <c r="M59" s="32">
        <f t="shared" si="1"/>
        <v>35776852</v>
      </c>
      <c r="N59" s="33">
        <f t="shared" si="2"/>
        <v>178520649</v>
      </c>
    </row>
    <row r="60" spans="1:14" x14ac:dyDescent="0.2">
      <c r="A60" s="14">
        <v>56</v>
      </c>
      <c r="B60" s="34" t="s">
        <v>82</v>
      </c>
      <c r="C60" s="35">
        <f>8927631+'[1]Local Transfers'!I62</f>
        <v>8048180.7949999999</v>
      </c>
      <c r="D60" s="17">
        <v>14358781</v>
      </c>
      <c r="E60" s="17">
        <v>399937</v>
      </c>
      <c r="F60" s="17">
        <v>125578</v>
      </c>
      <c r="G60" s="17">
        <v>5743</v>
      </c>
      <c r="H60" s="18">
        <f t="shared" si="0"/>
        <v>14890039</v>
      </c>
      <c r="I60" s="17">
        <v>0</v>
      </c>
      <c r="J60" s="17">
        <v>4717666</v>
      </c>
      <c r="K60" s="17">
        <v>19195</v>
      </c>
      <c r="L60" s="17">
        <v>66099</v>
      </c>
      <c r="M60" s="19">
        <f t="shared" si="1"/>
        <v>4802960</v>
      </c>
      <c r="N60" s="20">
        <f t="shared" si="2"/>
        <v>27741179.795000002</v>
      </c>
    </row>
    <row r="61" spans="1:14" x14ac:dyDescent="0.2">
      <c r="A61" s="21">
        <v>57</v>
      </c>
      <c r="B61" s="15" t="s">
        <v>83</v>
      </c>
      <c r="C61" s="22">
        <f>30516607+'[1]Local Transfers'!I63</f>
        <v>30502182</v>
      </c>
      <c r="D61" s="23">
        <v>40124448</v>
      </c>
      <c r="E61" s="23">
        <v>986921</v>
      </c>
      <c r="F61" s="23">
        <v>150284</v>
      </c>
      <c r="G61" s="23">
        <v>18456</v>
      </c>
      <c r="H61" s="24">
        <f t="shared" si="0"/>
        <v>41280109</v>
      </c>
      <c r="I61" s="23">
        <v>0</v>
      </c>
      <c r="J61" s="23">
        <v>24696167</v>
      </c>
      <c r="K61" s="23">
        <v>0</v>
      </c>
      <c r="L61" s="23">
        <v>265216</v>
      </c>
      <c r="M61" s="25">
        <f t="shared" si="1"/>
        <v>24961383</v>
      </c>
      <c r="N61" s="26">
        <f t="shared" si="2"/>
        <v>96743674</v>
      </c>
    </row>
    <row r="62" spans="1:14" x14ac:dyDescent="0.2">
      <c r="A62" s="21">
        <v>58</v>
      </c>
      <c r="B62" s="15" t="s">
        <v>84</v>
      </c>
      <c r="C62" s="22">
        <f>19293459+'[1]Local Transfers'!I64</f>
        <v>19292672</v>
      </c>
      <c r="D62" s="23">
        <v>54276302</v>
      </c>
      <c r="E62" s="23">
        <v>1159029</v>
      </c>
      <c r="F62" s="23">
        <v>257673</v>
      </c>
      <c r="G62" s="23">
        <v>17479</v>
      </c>
      <c r="H62" s="24">
        <f t="shared" si="0"/>
        <v>55710483</v>
      </c>
      <c r="I62" s="23">
        <v>5927129</v>
      </c>
      <c r="J62" s="23">
        <v>16510974</v>
      </c>
      <c r="K62" s="23">
        <v>174544</v>
      </c>
      <c r="L62" s="23">
        <v>278302</v>
      </c>
      <c r="M62" s="25">
        <f t="shared" si="1"/>
        <v>22890949</v>
      </c>
      <c r="N62" s="26">
        <f t="shared" si="2"/>
        <v>97894104</v>
      </c>
    </row>
    <row r="63" spans="1:14" x14ac:dyDescent="0.2">
      <c r="A63" s="21">
        <v>59</v>
      </c>
      <c r="B63" s="15" t="s">
        <v>85</v>
      </c>
      <c r="C63" s="22">
        <f>10836034+'[1]Local Transfers'!I65</f>
        <v>10831771</v>
      </c>
      <c r="D63" s="23">
        <v>34207759</v>
      </c>
      <c r="E63" s="23">
        <v>854590</v>
      </c>
      <c r="F63" s="23">
        <v>161850</v>
      </c>
      <c r="G63" s="23">
        <v>12975</v>
      </c>
      <c r="H63" s="24">
        <f t="shared" si="0"/>
        <v>35237174</v>
      </c>
      <c r="I63" s="23">
        <v>0</v>
      </c>
      <c r="J63" s="23">
        <v>10341200</v>
      </c>
      <c r="K63" s="23">
        <v>0</v>
      </c>
      <c r="L63" s="23">
        <v>157677</v>
      </c>
      <c r="M63" s="25">
        <f t="shared" si="1"/>
        <v>10498877</v>
      </c>
      <c r="N63" s="26">
        <f t="shared" si="2"/>
        <v>56567822</v>
      </c>
    </row>
    <row r="64" spans="1:14" x14ac:dyDescent="0.2">
      <c r="A64" s="27">
        <v>60</v>
      </c>
      <c r="B64" s="28" t="s">
        <v>86</v>
      </c>
      <c r="C64" s="29">
        <f>27254564+'[1]Local Transfers'!I66</f>
        <v>27247233</v>
      </c>
      <c r="D64" s="30">
        <v>36169049</v>
      </c>
      <c r="E64" s="30">
        <v>628415</v>
      </c>
      <c r="F64" s="30">
        <v>320610</v>
      </c>
      <c r="G64" s="30">
        <v>16701</v>
      </c>
      <c r="H64" s="31">
        <f t="shared" si="0"/>
        <v>37134775</v>
      </c>
      <c r="I64" s="30">
        <v>0</v>
      </c>
      <c r="J64" s="30">
        <v>11470065</v>
      </c>
      <c r="K64" s="30">
        <v>0</v>
      </c>
      <c r="L64" s="30">
        <v>185582</v>
      </c>
      <c r="M64" s="32">
        <f t="shared" si="1"/>
        <v>11655647</v>
      </c>
      <c r="N64" s="33">
        <f t="shared" si="2"/>
        <v>76037655</v>
      </c>
    </row>
    <row r="65" spans="1:14" x14ac:dyDescent="0.2">
      <c r="A65" s="14">
        <v>61</v>
      </c>
      <c r="B65" s="15" t="s">
        <v>87</v>
      </c>
      <c r="C65" s="16">
        <f>23420252+'[1]Local Transfers'!I67</f>
        <v>23400489</v>
      </c>
      <c r="D65" s="17">
        <v>11926320</v>
      </c>
      <c r="E65" s="17">
        <v>530062</v>
      </c>
      <c r="F65" s="17">
        <v>114350</v>
      </c>
      <c r="G65" s="17">
        <v>5399</v>
      </c>
      <c r="H65" s="18">
        <f t="shared" si="0"/>
        <v>12576131</v>
      </c>
      <c r="I65" s="17">
        <v>0</v>
      </c>
      <c r="J65" s="17">
        <v>7440510</v>
      </c>
      <c r="K65" s="17">
        <v>0</v>
      </c>
      <c r="L65" s="17">
        <v>116470</v>
      </c>
      <c r="M65" s="19">
        <f t="shared" si="1"/>
        <v>7556980</v>
      </c>
      <c r="N65" s="20">
        <f t="shared" si="2"/>
        <v>43533600</v>
      </c>
    </row>
    <row r="66" spans="1:14" x14ac:dyDescent="0.2">
      <c r="A66" s="21">
        <v>62</v>
      </c>
      <c r="B66" s="15" t="s">
        <v>88</v>
      </c>
      <c r="C66" s="22">
        <f>4007038+'[1]Local Transfers'!I68</f>
        <v>4005969</v>
      </c>
      <c r="D66" s="23">
        <v>12448349</v>
      </c>
      <c r="E66" s="23">
        <v>445562</v>
      </c>
      <c r="F66" s="23">
        <v>88077</v>
      </c>
      <c r="G66" s="23">
        <v>3700</v>
      </c>
      <c r="H66" s="24">
        <f t="shared" si="0"/>
        <v>12985688</v>
      </c>
      <c r="I66" s="23">
        <v>0</v>
      </c>
      <c r="J66" s="23">
        <v>4106797</v>
      </c>
      <c r="K66" s="23">
        <v>0</v>
      </c>
      <c r="L66" s="23">
        <v>108770</v>
      </c>
      <c r="M66" s="25">
        <f t="shared" si="1"/>
        <v>4215567</v>
      </c>
      <c r="N66" s="26">
        <f t="shared" si="2"/>
        <v>21207224</v>
      </c>
    </row>
    <row r="67" spans="1:14" x14ac:dyDescent="0.2">
      <c r="A67" s="21">
        <v>63</v>
      </c>
      <c r="B67" s="15" t="s">
        <v>89</v>
      </c>
      <c r="C67" s="22">
        <f>14943445+'[1]Local Transfers'!I69</f>
        <v>14940805</v>
      </c>
      <c r="D67" s="23">
        <v>10874992</v>
      </c>
      <c r="E67" s="23">
        <v>199933</v>
      </c>
      <c r="F67" s="23">
        <v>55278</v>
      </c>
      <c r="G67" s="23">
        <v>5469</v>
      </c>
      <c r="H67" s="24">
        <f t="shared" si="0"/>
        <v>11135672</v>
      </c>
      <c r="I67" s="23">
        <v>14000</v>
      </c>
      <c r="J67" s="23">
        <v>3583160</v>
      </c>
      <c r="K67" s="23">
        <v>0</v>
      </c>
      <c r="L67" s="23">
        <v>72484</v>
      </c>
      <c r="M67" s="25">
        <f t="shared" si="1"/>
        <v>3669644</v>
      </c>
      <c r="N67" s="26">
        <f t="shared" si="2"/>
        <v>29746121</v>
      </c>
    </row>
    <row r="68" spans="1:14" x14ac:dyDescent="0.2">
      <c r="A68" s="21">
        <v>64</v>
      </c>
      <c r="B68" s="15" t="s">
        <v>90</v>
      </c>
      <c r="C68" s="22">
        <f>6976363+'[1]Local Transfers'!I70</f>
        <v>6973796</v>
      </c>
      <c r="D68" s="23">
        <v>14931316</v>
      </c>
      <c r="E68" s="23">
        <v>357243</v>
      </c>
      <c r="F68" s="23">
        <v>81907</v>
      </c>
      <c r="G68" s="23">
        <v>11639</v>
      </c>
      <c r="H68" s="24">
        <f t="shared" si="0"/>
        <v>15382105</v>
      </c>
      <c r="I68" s="23">
        <v>0</v>
      </c>
      <c r="J68" s="23">
        <v>4507280</v>
      </c>
      <c r="K68" s="23">
        <v>227035</v>
      </c>
      <c r="L68" s="23">
        <v>92016</v>
      </c>
      <c r="M68" s="25">
        <f t="shared" si="1"/>
        <v>4826331</v>
      </c>
      <c r="N68" s="26">
        <f t="shared" si="2"/>
        <v>27182232</v>
      </c>
    </row>
    <row r="69" spans="1:14" x14ac:dyDescent="0.2">
      <c r="A69" s="27">
        <v>65</v>
      </c>
      <c r="B69" s="28" t="s">
        <v>91</v>
      </c>
      <c r="C69" s="29">
        <f>41008615+'[1]Local Transfers'!I71</f>
        <v>40975059</v>
      </c>
      <c r="D69" s="30">
        <v>42580564</v>
      </c>
      <c r="E69" s="30">
        <v>689928</v>
      </c>
      <c r="F69" s="30">
        <v>303721</v>
      </c>
      <c r="G69" s="30">
        <v>170184</v>
      </c>
      <c r="H69" s="31">
        <f t="shared" si="0"/>
        <v>43744397</v>
      </c>
      <c r="I69" s="30">
        <v>31471</v>
      </c>
      <c r="J69" s="30">
        <v>25536198</v>
      </c>
      <c r="K69" s="30">
        <v>0</v>
      </c>
      <c r="L69" s="30">
        <v>659665</v>
      </c>
      <c r="M69" s="32">
        <f t="shared" si="1"/>
        <v>26227334</v>
      </c>
      <c r="N69" s="33">
        <f t="shared" si="2"/>
        <v>110946790</v>
      </c>
    </row>
    <row r="70" spans="1:14" x14ac:dyDescent="0.2">
      <c r="A70" s="14">
        <v>66</v>
      </c>
      <c r="B70" s="34" t="s">
        <v>92</v>
      </c>
      <c r="C70" s="35">
        <f>7810298+'[1]Local Transfers'!I72</f>
        <v>7805622</v>
      </c>
      <c r="D70" s="17">
        <v>13924178</v>
      </c>
      <c r="E70" s="17">
        <v>402694</v>
      </c>
      <c r="F70" s="17">
        <v>214465</v>
      </c>
      <c r="G70" s="17">
        <v>8956</v>
      </c>
      <c r="H70" s="18">
        <f>SUM(D70:G70)</f>
        <v>14550293</v>
      </c>
      <c r="I70" s="17">
        <v>0</v>
      </c>
      <c r="J70" s="17">
        <v>6173053</v>
      </c>
      <c r="K70" s="17">
        <v>0</v>
      </c>
      <c r="L70" s="17">
        <v>86189</v>
      </c>
      <c r="M70" s="19">
        <f>SUM(I70:L70)</f>
        <v>6259242</v>
      </c>
      <c r="N70" s="20">
        <f t="shared" ref="N70:N74" si="3">C70+H70+M70</f>
        <v>28615157</v>
      </c>
    </row>
    <row r="71" spans="1:14" ht="12.75" customHeight="1" x14ac:dyDescent="0.2">
      <c r="A71" s="21">
        <v>67</v>
      </c>
      <c r="B71" s="15" t="s">
        <v>93</v>
      </c>
      <c r="C71" s="22">
        <f>25106108+'[1]Local Transfers'!I73</f>
        <v>25099351.838750001</v>
      </c>
      <c r="D71" s="23">
        <v>27039726</v>
      </c>
      <c r="E71" s="23">
        <v>304398</v>
      </c>
      <c r="F71" s="23">
        <v>81064</v>
      </c>
      <c r="G71" s="23">
        <v>8187</v>
      </c>
      <c r="H71" s="24">
        <f>SUM(D71:G71)</f>
        <v>27433375</v>
      </c>
      <c r="I71" s="23">
        <v>0</v>
      </c>
      <c r="J71" s="23">
        <v>4940827</v>
      </c>
      <c r="K71" s="23">
        <v>0</v>
      </c>
      <c r="L71" s="23">
        <v>112672</v>
      </c>
      <c r="M71" s="25">
        <f>SUM(I71:L71)</f>
        <v>5053499</v>
      </c>
      <c r="N71" s="26">
        <f t="shared" si="3"/>
        <v>57586225.838750005</v>
      </c>
    </row>
    <row r="72" spans="1:14" s="36" customFormat="1" x14ac:dyDescent="0.2">
      <c r="A72" s="21">
        <v>68</v>
      </c>
      <c r="B72" s="15" t="s">
        <v>94</v>
      </c>
      <c r="C72" s="22">
        <f>5438309+'[1]Local Transfers'!I74</f>
        <v>5418645.3875000002</v>
      </c>
      <c r="D72" s="23">
        <v>11715287</v>
      </c>
      <c r="E72" s="23">
        <v>136404</v>
      </c>
      <c r="F72" s="23">
        <v>45686</v>
      </c>
      <c r="G72" s="23">
        <v>1813</v>
      </c>
      <c r="H72" s="24">
        <f>SUM(D72:G72)</f>
        <v>11899190</v>
      </c>
      <c r="I72" s="23">
        <v>0</v>
      </c>
      <c r="J72" s="23">
        <v>3881169</v>
      </c>
      <c r="K72" s="23">
        <v>0</v>
      </c>
      <c r="L72" s="23">
        <v>38666</v>
      </c>
      <c r="M72" s="25">
        <f>SUM(I72:L72)</f>
        <v>3919835</v>
      </c>
      <c r="N72" s="26">
        <f t="shared" si="3"/>
        <v>21237670.387499999</v>
      </c>
    </row>
    <row r="73" spans="1:14" x14ac:dyDescent="0.2">
      <c r="A73" s="21">
        <v>69</v>
      </c>
      <c r="B73" s="15" t="s">
        <v>95</v>
      </c>
      <c r="C73" s="22">
        <f>14842956+'[1]Local Transfers'!I75</f>
        <v>14835042.73</v>
      </c>
      <c r="D73" s="23">
        <v>23268842</v>
      </c>
      <c r="E73" s="23">
        <v>316336</v>
      </c>
      <c r="F73" s="23">
        <v>0</v>
      </c>
      <c r="G73" s="23">
        <v>4720</v>
      </c>
      <c r="H73" s="24">
        <f>SUM(D73:G73)</f>
        <v>23589898</v>
      </c>
      <c r="I73" s="23">
        <v>9142</v>
      </c>
      <c r="J73" s="23">
        <v>5206210</v>
      </c>
      <c r="K73" s="23">
        <v>0</v>
      </c>
      <c r="L73" s="23">
        <v>0</v>
      </c>
      <c r="M73" s="25">
        <f>SUM(I73:L73)</f>
        <v>5215352</v>
      </c>
      <c r="N73" s="26">
        <f t="shared" si="3"/>
        <v>43640292.730000004</v>
      </c>
    </row>
    <row r="74" spans="1:14" ht="12.75" customHeight="1" x14ac:dyDescent="0.2">
      <c r="A74" s="37">
        <v>396</v>
      </c>
      <c r="B74" s="15" t="s">
        <v>96</v>
      </c>
      <c r="C74" s="22">
        <f>45509058-3134504</f>
        <v>42374554</v>
      </c>
      <c r="D74" s="23">
        <v>36738725</v>
      </c>
      <c r="E74" s="23">
        <f>17410321-9877373</f>
        <v>7532948</v>
      </c>
      <c r="F74" s="23">
        <v>0</v>
      </c>
      <c r="G74" s="23">
        <v>24917</v>
      </c>
      <c r="H74" s="24">
        <f>SUM(D74:G74)</f>
        <v>44296590</v>
      </c>
      <c r="I74" s="23">
        <v>0</v>
      </c>
      <c r="J74" s="23">
        <f>116259460-'[1]Hurricane Data'!L13</f>
        <v>32144211</v>
      </c>
      <c r="K74" s="23">
        <v>0</v>
      </c>
      <c r="L74" s="23">
        <v>0</v>
      </c>
      <c r="M74" s="25">
        <f>SUM(I74:L74)</f>
        <v>32144211</v>
      </c>
      <c r="N74" s="26">
        <f t="shared" si="3"/>
        <v>118815355</v>
      </c>
    </row>
    <row r="75" spans="1:14" x14ac:dyDescent="0.2">
      <c r="A75" s="38"/>
      <c r="B75" s="39" t="s">
        <v>97</v>
      </c>
      <c r="C75" s="40">
        <f t="shared" ref="C75:N75" si="4">SUM(C5:C74)</f>
        <v>3113513759.0834889</v>
      </c>
      <c r="D75" s="41">
        <f t="shared" si="4"/>
        <v>3150154080</v>
      </c>
      <c r="E75" s="41">
        <f t="shared" si="4"/>
        <v>78816795</v>
      </c>
      <c r="F75" s="41">
        <f t="shared" si="4"/>
        <v>28958973</v>
      </c>
      <c r="G75" s="41">
        <f t="shared" si="4"/>
        <v>1518608</v>
      </c>
      <c r="H75" s="42">
        <f t="shared" si="4"/>
        <v>3259448456</v>
      </c>
      <c r="I75" s="41">
        <f t="shared" si="4"/>
        <v>20124987</v>
      </c>
      <c r="J75" s="41">
        <f t="shared" si="4"/>
        <v>1252611188</v>
      </c>
      <c r="K75" s="41">
        <f t="shared" si="4"/>
        <v>1555436</v>
      </c>
      <c r="L75" s="41">
        <f t="shared" si="4"/>
        <v>15789742</v>
      </c>
      <c r="M75" s="43">
        <f t="shared" si="4"/>
        <v>1290081353</v>
      </c>
      <c r="N75" s="44">
        <f t="shared" si="4"/>
        <v>7663043568.0834894</v>
      </c>
    </row>
    <row r="76" spans="1:14" x14ac:dyDescent="0.2">
      <c r="A76" s="45"/>
      <c r="B76" s="46"/>
      <c r="C76" s="47"/>
      <c r="D76" s="48"/>
      <c r="E76" s="48"/>
      <c r="F76" s="48"/>
      <c r="G76" s="48"/>
      <c r="H76" s="48"/>
      <c r="I76" s="49"/>
      <c r="J76" s="49"/>
      <c r="K76" s="49"/>
      <c r="L76" s="49"/>
      <c r="M76" s="49"/>
      <c r="N76" s="48"/>
    </row>
    <row r="77" spans="1:14" x14ac:dyDescent="0.2">
      <c r="A77" s="14">
        <v>318</v>
      </c>
      <c r="B77" s="50" t="s">
        <v>98</v>
      </c>
      <c r="C77" s="51">
        <v>5974668</v>
      </c>
      <c r="D77" s="17">
        <v>6489319</v>
      </c>
      <c r="E77" s="17">
        <v>15412</v>
      </c>
      <c r="F77" s="17">
        <v>0</v>
      </c>
      <c r="G77" s="17">
        <v>2588</v>
      </c>
      <c r="H77" s="18">
        <f>SUM(D77:G77)</f>
        <v>6507319</v>
      </c>
      <c r="I77" s="17">
        <v>0</v>
      </c>
      <c r="J77" s="17">
        <v>175387</v>
      </c>
      <c r="K77" s="17">
        <v>0</v>
      </c>
      <c r="L77" s="17">
        <v>0</v>
      </c>
      <c r="M77" s="19">
        <f>SUM(I77:L77)</f>
        <v>175387</v>
      </c>
      <c r="N77" s="20">
        <f>C77+H77+M77</f>
        <v>12657374</v>
      </c>
    </row>
    <row r="78" spans="1:14" x14ac:dyDescent="0.2">
      <c r="A78" s="27">
        <v>319</v>
      </c>
      <c r="B78" s="52" t="s">
        <v>99</v>
      </c>
      <c r="C78" s="53">
        <v>845527</v>
      </c>
      <c r="D78" s="30">
        <v>1452094</v>
      </c>
      <c r="E78" s="30">
        <v>17285</v>
      </c>
      <c r="F78" s="30">
        <v>0</v>
      </c>
      <c r="G78" s="30">
        <v>3492</v>
      </c>
      <c r="H78" s="31">
        <f>SUM(D78:G78)</f>
        <v>1472871</v>
      </c>
      <c r="I78" s="30">
        <v>0</v>
      </c>
      <c r="J78" s="30">
        <v>0</v>
      </c>
      <c r="K78" s="30">
        <v>0</v>
      </c>
      <c r="L78" s="30">
        <v>0</v>
      </c>
      <c r="M78" s="32">
        <f>SUM(I78:L78)</f>
        <v>0</v>
      </c>
      <c r="N78" s="54">
        <f>C78+H78+M78</f>
        <v>2318398</v>
      </c>
    </row>
    <row r="79" spans="1:14" x14ac:dyDescent="0.2">
      <c r="A79" s="55"/>
      <c r="B79" s="56" t="s">
        <v>100</v>
      </c>
      <c r="C79" s="57">
        <f t="shared" ref="C79:N79" si="5">SUM(C77:C78)</f>
        <v>6820195</v>
      </c>
      <c r="D79" s="58">
        <f t="shared" si="5"/>
        <v>7941413</v>
      </c>
      <c r="E79" s="58">
        <f t="shared" si="5"/>
        <v>32697</v>
      </c>
      <c r="F79" s="58">
        <f t="shared" si="5"/>
        <v>0</v>
      </c>
      <c r="G79" s="58">
        <f t="shared" si="5"/>
        <v>6080</v>
      </c>
      <c r="H79" s="59">
        <f t="shared" si="5"/>
        <v>7980190</v>
      </c>
      <c r="I79" s="60">
        <f t="shared" si="5"/>
        <v>0</v>
      </c>
      <c r="J79" s="60">
        <f t="shared" si="5"/>
        <v>175387</v>
      </c>
      <c r="K79" s="60">
        <f t="shared" si="5"/>
        <v>0</v>
      </c>
      <c r="L79" s="60">
        <f t="shared" si="5"/>
        <v>0</v>
      </c>
      <c r="M79" s="61">
        <f t="shared" si="5"/>
        <v>175387</v>
      </c>
      <c r="N79" s="62">
        <f t="shared" si="5"/>
        <v>14975772</v>
      </c>
    </row>
    <row r="80" spans="1:14" x14ac:dyDescent="0.2">
      <c r="A80" s="63"/>
      <c r="B80" s="64"/>
      <c r="C80" s="47"/>
      <c r="D80" s="47"/>
      <c r="E80" s="47"/>
      <c r="F80" s="47"/>
      <c r="G80" s="47"/>
      <c r="H80" s="47"/>
      <c r="I80" s="49"/>
      <c r="J80" s="49"/>
      <c r="K80" s="49"/>
      <c r="L80" s="49"/>
      <c r="M80" s="49"/>
      <c r="N80" s="48"/>
    </row>
    <row r="81" spans="1:14" x14ac:dyDescent="0.2">
      <c r="A81" s="65">
        <v>321001</v>
      </c>
      <c r="B81" s="66" t="s">
        <v>101</v>
      </c>
      <c r="C81" s="51">
        <v>40110</v>
      </c>
      <c r="D81" s="23">
        <v>3073942</v>
      </c>
      <c r="E81" s="23">
        <v>0</v>
      </c>
      <c r="F81" s="23">
        <v>0</v>
      </c>
      <c r="G81" s="23">
        <v>0</v>
      </c>
      <c r="H81" s="24">
        <f t="shared" ref="H81:H87" si="6">SUM(D81:G81)</f>
        <v>3073942</v>
      </c>
      <c r="I81" s="23">
        <v>0</v>
      </c>
      <c r="J81" s="23">
        <v>939734</v>
      </c>
      <c r="K81" s="23">
        <v>0</v>
      </c>
      <c r="L81" s="23">
        <v>11827</v>
      </c>
      <c r="M81" s="25">
        <f t="shared" ref="M81:M87" si="7">SUM(I81:L81)</f>
        <v>951561</v>
      </c>
      <c r="N81" s="26">
        <f t="shared" ref="N81:N92" si="8">C81+H81+M81</f>
        <v>4065613</v>
      </c>
    </row>
    <row r="82" spans="1:14" x14ac:dyDescent="0.2">
      <c r="A82" s="67">
        <v>329001</v>
      </c>
      <c r="B82" s="68" t="s">
        <v>102</v>
      </c>
      <c r="C82" s="69">
        <v>90138</v>
      </c>
      <c r="D82" s="23">
        <v>3284653</v>
      </c>
      <c r="E82" s="23">
        <v>33204</v>
      </c>
      <c r="F82" s="23">
        <v>0</v>
      </c>
      <c r="G82" s="23">
        <v>661</v>
      </c>
      <c r="H82" s="24">
        <f t="shared" si="6"/>
        <v>3318518</v>
      </c>
      <c r="I82" s="23">
        <v>0</v>
      </c>
      <c r="J82" s="23">
        <v>487813</v>
      </c>
      <c r="K82" s="23">
        <v>0</v>
      </c>
      <c r="L82" s="23">
        <v>15638</v>
      </c>
      <c r="M82" s="25">
        <f t="shared" si="7"/>
        <v>503451</v>
      </c>
      <c r="N82" s="26">
        <f t="shared" si="8"/>
        <v>3912107</v>
      </c>
    </row>
    <row r="83" spans="1:14" x14ac:dyDescent="0.2">
      <c r="A83" s="67">
        <v>331001</v>
      </c>
      <c r="B83" s="68" t="s">
        <v>103</v>
      </c>
      <c r="C83" s="69">
        <v>608415</v>
      </c>
      <c r="D83" s="23">
        <v>4255488</v>
      </c>
      <c r="E83" s="23">
        <v>41820</v>
      </c>
      <c r="F83" s="23">
        <v>0</v>
      </c>
      <c r="G83" s="23">
        <v>0</v>
      </c>
      <c r="H83" s="24">
        <f t="shared" si="6"/>
        <v>4297308</v>
      </c>
      <c r="I83" s="23">
        <v>0</v>
      </c>
      <c r="J83" s="23">
        <v>701326</v>
      </c>
      <c r="K83" s="23">
        <v>0</v>
      </c>
      <c r="L83" s="23">
        <v>0</v>
      </c>
      <c r="M83" s="25">
        <f t="shared" si="7"/>
        <v>701326</v>
      </c>
      <c r="N83" s="26">
        <f t="shared" si="8"/>
        <v>5607049</v>
      </c>
    </row>
    <row r="84" spans="1:14" x14ac:dyDescent="0.2">
      <c r="A84" s="67">
        <v>333001</v>
      </c>
      <c r="B84" s="68" t="s">
        <v>104</v>
      </c>
      <c r="C84" s="69">
        <v>402597</v>
      </c>
      <c r="D84" s="23">
        <v>4589197</v>
      </c>
      <c r="E84" s="23">
        <v>25738</v>
      </c>
      <c r="F84" s="23">
        <v>0</v>
      </c>
      <c r="G84" s="23">
        <v>0</v>
      </c>
      <c r="H84" s="24">
        <f t="shared" si="6"/>
        <v>4614935</v>
      </c>
      <c r="I84" s="23">
        <v>0</v>
      </c>
      <c r="J84" s="23">
        <v>481879</v>
      </c>
      <c r="K84" s="23">
        <v>0</v>
      </c>
      <c r="L84" s="23">
        <v>0</v>
      </c>
      <c r="M84" s="25">
        <f t="shared" si="7"/>
        <v>481879</v>
      </c>
      <c r="N84" s="26">
        <f t="shared" si="8"/>
        <v>5499411</v>
      </c>
    </row>
    <row r="85" spans="1:14" x14ac:dyDescent="0.2">
      <c r="A85" s="70">
        <v>336001</v>
      </c>
      <c r="B85" s="52" t="s">
        <v>105</v>
      </c>
      <c r="C85" s="53">
        <v>143374</v>
      </c>
      <c r="D85" s="30">
        <v>6186997</v>
      </c>
      <c r="E85" s="30">
        <v>30701</v>
      </c>
      <c r="F85" s="30">
        <v>0</v>
      </c>
      <c r="G85" s="30">
        <v>66</v>
      </c>
      <c r="H85" s="31">
        <f t="shared" si="6"/>
        <v>6217764</v>
      </c>
      <c r="I85" s="30">
        <v>0</v>
      </c>
      <c r="J85" s="30">
        <v>488530</v>
      </c>
      <c r="K85" s="30">
        <v>0</v>
      </c>
      <c r="L85" s="30">
        <v>0</v>
      </c>
      <c r="M85" s="32">
        <f t="shared" si="7"/>
        <v>488530</v>
      </c>
      <c r="N85" s="54">
        <f t="shared" si="8"/>
        <v>6849668</v>
      </c>
    </row>
    <row r="86" spans="1:14" x14ac:dyDescent="0.2">
      <c r="A86" s="65">
        <v>337001</v>
      </c>
      <c r="B86" s="66" t="s">
        <v>106</v>
      </c>
      <c r="C86" s="51">
        <v>311855</v>
      </c>
      <c r="D86" s="23">
        <v>11880420</v>
      </c>
      <c r="E86" s="23">
        <v>13700</v>
      </c>
      <c r="F86" s="23">
        <v>0</v>
      </c>
      <c r="G86" s="23">
        <v>0</v>
      </c>
      <c r="H86" s="24">
        <f t="shared" si="6"/>
        <v>11894120</v>
      </c>
      <c r="I86" s="23">
        <v>2162775</v>
      </c>
      <c r="J86" s="23">
        <v>558354</v>
      </c>
      <c r="K86" s="23">
        <v>0</v>
      </c>
      <c r="L86" s="23">
        <v>0</v>
      </c>
      <c r="M86" s="25">
        <f t="shared" si="7"/>
        <v>2721129</v>
      </c>
      <c r="N86" s="26">
        <f t="shared" si="8"/>
        <v>14927104</v>
      </c>
    </row>
    <row r="87" spans="1:14" x14ac:dyDescent="0.2">
      <c r="A87" s="67">
        <v>339001</v>
      </c>
      <c r="B87" s="68" t="s">
        <v>107</v>
      </c>
      <c r="C87" s="69">
        <v>77279</v>
      </c>
      <c r="D87" s="23">
        <v>3503978</v>
      </c>
      <c r="E87" s="23">
        <v>29118</v>
      </c>
      <c r="F87" s="23">
        <v>0</v>
      </c>
      <c r="G87" s="23">
        <v>378</v>
      </c>
      <c r="H87" s="24">
        <f t="shared" si="6"/>
        <v>3533474</v>
      </c>
      <c r="I87" s="23">
        <v>0</v>
      </c>
      <c r="J87" s="23">
        <v>571353</v>
      </c>
      <c r="K87" s="23">
        <v>0</v>
      </c>
      <c r="L87" s="23">
        <v>11126</v>
      </c>
      <c r="M87" s="25">
        <f t="shared" si="7"/>
        <v>582479</v>
      </c>
      <c r="N87" s="26">
        <f t="shared" si="8"/>
        <v>4193232</v>
      </c>
    </row>
    <row r="88" spans="1:14" x14ac:dyDescent="0.2">
      <c r="A88" s="67">
        <v>340001</v>
      </c>
      <c r="B88" s="68" t="s">
        <v>108</v>
      </c>
      <c r="C88" s="69">
        <v>108811</v>
      </c>
      <c r="D88" s="23">
        <v>910024</v>
      </c>
      <c r="E88" s="23">
        <v>0</v>
      </c>
      <c r="F88" s="23">
        <v>0</v>
      </c>
      <c r="G88" s="23">
        <v>5110</v>
      </c>
      <c r="H88" s="24">
        <f>SUM(D88:G88)</f>
        <v>915134</v>
      </c>
      <c r="I88" s="23">
        <v>0</v>
      </c>
      <c r="J88" s="23">
        <v>71053</v>
      </c>
      <c r="K88" s="23">
        <v>0</v>
      </c>
      <c r="L88" s="23">
        <v>0</v>
      </c>
      <c r="M88" s="25">
        <f>SUM(I88:L88)</f>
        <v>71053</v>
      </c>
      <c r="N88" s="26">
        <f t="shared" si="8"/>
        <v>1094998</v>
      </c>
    </row>
    <row r="89" spans="1:14" x14ac:dyDescent="0.2">
      <c r="A89" s="67">
        <v>341001</v>
      </c>
      <c r="B89" s="68" t="s">
        <v>109</v>
      </c>
      <c r="C89" s="69">
        <v>1062084</v>
      </c>
      <c r="D89" s="23">
        <v>1713269</v>
      </c>
      <c r="E89" s="23">
        <v>0</v>
      </c>
      <c r="F89" s="23">
        <v>0</v>
      </c>
      <c r="G89" s="23">
        <v>0</v>
      </c>
      <c r="H89" s="24">
        <f>SUM(D89:G89)</f>
        <v>1713269</v>
      </c>
      <c r="I89" s="23">
        <v>0</v>
      </c>
      <c r="J89" s="23">
        <v>510321</v>
      </c>
      <c r="K89" s="23">
        <v>0</v>
      </c>
      <c r="L89" s="23">
        <v>0</v>
      </c>
      <c r="M89" s="25">
        <f>SUM(I89:L89)</f>
        <v>510321</v>
      </c>
      <c r="N89" s="26">
        <f t="shared" si="8"/>
        <v>3285674</v>
      </c>
    </row>
    <row r="90" spans="1:14" x14ac:dyDescent="0.2">
      <c r="A90" s="70">
        <v>342001</v>
      </c>
      <c r="B90" s="52" t="s">
        <v>110</v>
      </c>
      <c r="C90" s="53">
        <v>63550</v>
      </c>
      <c r="D90" s="30">
        <v>817324</v>
      </c>
      <c r="E90" s="30">
        <v>0</v>
      </c>
      <c r="F90" s="30">
        <v>0</v>
      </c>
      <c r="G90" s="30">
        <v>0</v>
      </c>
      <c r="H90" s="31">
        <f>SUM(D90:G90)</f>
        <v>817324</v>
      </c>
      <c r="I90" s="30">
        <v>0</v>
      </c>
      <c r="J90" s="30">
        <v>296955</v>
      </c>
      <c r="K90" s="30">
        <v>0</v>
      </c>
      <c r="L90" s="30">
        <v>0</v>
      </c>
      <c r="M90" s="32">
        <f>SUM(I90:L90)</f>
        <v>296955</v>
      </c>
      <c r="N90" s="54">
        <f t="shared" si="8"/>
        <v>1177829</v>
      </c>
    </row>
    <row r="91" spans="1:14" x14ac:dyDescent="0.2">
      <c r="A91" s="71">
        <v>343001</v>
      </c>
      <c r="B91" s="50" t="s">
        <v>111</v>
      </c>
      <c r="C91" s="51">
        <v>1168618</v>
      </c>
      <c r="D91" s="17">
        <v>703242</v>
      </c>
      <c r="E91" s="17">
        <v>0</v>
      </c>
      <c r="F91" s="17">
        <v>0</v>
      </c>
      <c r="G91" s="17">
        <v>0</v>
      </c>
      <c r="H91" s="18">
        <f>SUM(D91:G91)</f>
        <v>703242</v>
      </c>
      <c r="I91" s="17">
        <v>0</v>
      </c>
      <c r="J91" s="17">
        <v>276905</v>
      </c>
      <c r="K91" s="17">
        <v>0</v>
      </c>
      <c r="L91" s="17">
        <v>0</v>
      </c>
      <c r="M91" s="19">
        <f>SUM(I91:L91)</f>
        <v>276905</v>
      </c>
      <c r="N91" s="20">
        <f t="shared" si="8"/>
        <v>2148765</v>
      </c>
    </row>
    <row r="92" spans="1:14" s="36" customFormat="1" x14ac:dyDescent="0.2">
      <c r="A92" s="70">
        <v>344001</v>
      </c>
      <c r="B92" s="52" t="s">
        <v>112</v>
      </c>
      <c r="C92" s="53">
        <v>1106320</v>
      </c>
      <c r="D92" s="30">
        <v>668454</v>
      </c>
      <c r="E92" s="30">
        <v>0</v>
      </c>
      <c r="F92" s="30">
        <v>0</v>
      </c>
      <c r="G92" s="30">
        <v>0</v>
      </c>
      <c r="H92" s="31">
        <f>SUM(D92:G92)</f>
        <v>668454</v>
      </c>
      <c r="I92" s="30">
        <v>0</v>
      </c>
      <c r="J92" s="30">
        <v>504962</v>
      </c>
      <c r="K92" s="30">
        <v>0</v>
      </c>
      <c r="L92" s="30">
        <v>0</v>
      </c>
      <c r="M92" s="32">
        <f>SUM(I92:L92)</f>
        <v>504962</v>
      </c>
      <c r="N92" s="54">
        <f t="shared" si="8"/>
        <v>2279736</v>
      </c>
    </row>
    <row r="93" spans="1:14" x14ac:dyDescent="0.2">
      <c r="A93" s="55"/>
      <c r="B93" s="56" t="s">
        <v>113</v>
      </c>
      <c r="C93" s="57">
        <f t="shared" ref="C93:N93" si="9">SUM(C81:C92)</f>
        <v>5183151</v>
      </c>
      <c r="D93" s="58">
        <f t="shared" si="9"/>
        <v>41586988</v>
      </c>
      <c r="E93" s="58">
        <f t="shared" si="9"/>
        <v>174281</v>
      </c>
      <c r="F93" s="58">
        <f t="shared" si="9"/>
        <v>0</v>
      </c>
      <c r="G93" s="58">
        <f t="shared" si="9"/>
        <v>6215</v>
      </c>
      <c r="H93" s="59">
        <f t="shared" si="9"/>
        <v>41767484</v>
      </c>
      <c r="I93" s="60">
        <f t="shared" si="9"/>
        <v>2162775</v>
      </c>
      <c r="J93" s="60">
        <f t="shared" si="9"/>
        <v>5889185</v>
      </c>
      <c r="K93" s="60">
        <f t="shared" si="9"/>
        <v>0</v>
      </c>
      <c r="L93" s="60">
        <f t="shared" si="9"/>
        <v>38591</v>
      </c>
      <c r="M93" s="61">
        <f t="shared" si="9"/>
        <v>8090551</v>
      </c>
      <c r="N93" s="62">
        <f t="shared" si="9"/>
        <v>55041186</v>
      </c>
    </row>
    <row r="94" spans="1:14" x14ac:dyDescent="0.2">
      <c r="A94" s="45"/>
      <c r="B94" s="64"/>
      <c r="C94" s="47"/>
      <c r="D94" s="47"/>
      <c r="E94" s="47"/>
      <c r="F94" s="47"/>
      <c r="G94" s="47"/>
      <c r="H94" s="47"/>
      <c r="I94" s="49"/>
      <c r="J94" s="49"/>
      <c r="K94" s="49"/>
      <c r="L94" s="49"/>
      <c r="M94" s="49"/>
      <c r="N94" s="48"/>
    </row>
    <row r="95" spans="1:14" x14ac:dyDescent="0.2">
      <c r="A95" s="34">
        <v>300001</v>
      </c>
      <c r="B95" s="34" t="s">
        <v>114</v>
      </c>
      <c r="C95" s="51">
        <v>1561592</v>
      </c>
      <c r="D95" s="23">
        <v>1192602</v>
      </c>
      <c r="E95" s="23">
        <v>0</v>
      </c>
      <c r="F95" s="23">
        <v>0</v>
      </c>
      <c r="G95" s="23">
        <v>0</v>
      </c>
      <c r="H95" s="24">
        <f>SUM(D95:G95)</f>
        <v>1192602</v>
      </c>
      <c r="I95" s="23">
        <v>0</v>
      </c>
      <c r="J95" s="23">
        <v>1192775</v>
      </c>
      <c r="K95" s="23">
        <v>0</v>
      </c>
      <c r="L95" s="23">
        <v>133517</v>
      </c>
      <c r="M95" s="25">
        <f>SUM(I95:L95)</f>
        <v>1326292</v>
      </c>
      <c r="N95" s="26">
        <f>C95+H95+M95</f>
        <v>4080486</v>
      </c>
    </row>
    <row r="96" spans="1:14" x14ac:dyDescent="0.2">
      <c r="A96" s="67">
        <v>300002</v>
      </c>
      <c r="B96" s="15" t="s">
        <v>115</v>
      </c>
      <c r="C96" s="69">
        <v>1760762</v>
      </c>
      <c r="D96" s="23">
        <v>1291415</v>
      </c>
      <c r="E96" s="23">
        <v>183135</v>
      </c>
      <c r="F96" s="23">
        <v>0</v>
      </c>
      <c r="G96" s="23">
        <v>0</v>
      </c>
      <c r="H96" s="24">
        <f>SUM(D96:G96)</f>
        <v>1474550</v>
      </c>
      <c r="I96" s="23">
        <v>0</v>
      </c>
      <c r="J96" s="23">
        <v>1097213</v>
      </c>
      <c r="K96" s="23">
        <v>0</v>
      </c>
      <c r="L96" s="23">
        <v>137618</v>
      </c>
      <c r="M96" s="25">
        <f>SUM(I96:L96)</f>
        <v>1234831</v>
      </c>
      <c r="N96" s="26">
        <f>C96+H96+M96</f>
        <v>4470143</v>
      </c>
    </row>
    <row r="97" spans="1:14" x14ac:dyDescent="0.2">
      <c r="A97" s="67">
        <v>300003</v>
      </c>
      <c r="B97" s="15" t="s">
        <v>116</v>
      </c>
      <c r="C97" s="69">
        <v>1602585</v>
      </c>
      <c r="D97" s="23">
        <v>1371474</v>
      </c>
      <c r="E97" s="23">
        <v>0</v>
      </c>
      <c r="F97" s="23">
        <v>0</v>
      </c>
      <c r="G97" s="23">
        <v>0</v>
      </c>
      <c r="H97" s="24">
        <f t="shared" ref="H97:H147" si="10">SUM(D97:G97)</f>
        <v>1371474</v>
      </c>
      <c r="I97" s="23">
        <v>0</v>
      </c>
      <c r="J97" s="23">
        <v>666747</v>
      </c>
      <c r="K97" s="23">
        <v>0</v>
      </c>
      <c r="L97" s="23">
        <v>0</v>
      </c>
      <c r="M97" s="25">
        <f t="shared" ref="M97:M147" si="11">SUM(I97:L97)</f>
        <v>666747</v>
      </c>
      <c r="N97" s="26">
        <f t="shared" ref="N97:N147" si="12">C97+H97+M97</f>
        <v>3640806</v>
      </c>
    </row>
    <row r="98" spans="1:14" x14ac:dyDescent="0.2">
      <c r="A98" s="72">
        <v>300004</v>
      </c>
      <c r="B98" s="73" t="s">
        <v>117</v>
      </c>
      <c r="C98" s="69">
        <v>1644253</v>
      </c>
      <c r="D98" s="23">
        <v>1333078</v>
      </c>
      <c r="E98" s="23">
        <v>82402</v>
      </c>
      <c r="F98" s="23">
        <v>0</v>
      </c>
      <c r="G98" s="23">
        <v>8679</v>
      </c>
      <c r="H98" s="24">
        <f t="shared" si="10"/>
        <v>1424159</v>
      </c>
      <c r="I98" s="23">
        <v>0</v>
      </c>
      <c r="J98" s="23">
        <v>790738</v>
      </c>
      <c r="K98" s="23">
        <v>0</v>
      </c>
      <c r="L98" s="23">
        <v>58045</v>
      </c>
      <c r="M98" s="25">
        <f t="shared" si="11"/>
        <v>848783</v>
      </c>
      <c r="N98" s="26">
        <f t="shared" si="12"/>
        <v>3917195</v>
      </c>
    </row>
    <row r="99" spans="1:14" x14ac:dyDescent="0.2">
      <c r="A99" s="74">
        <v>366001</v>
      </c>
      <c r="B99" s="75" t="s">
        <v>118</v>
      </c>
      <c r="C99" s="53">
        <v>1048453</v>
      </c>
      <c r="D99" s="30">
        <v>186088</v>
      </c>
      <c r="E99" s="30"/>
      <c r="F99" s="30"/>
      <c r="G99" s="30"/>
      <c r="H99" s="31">
        <f t="shared" si="10"/>
        <v>186088</v>
      </c>
      <c r="I99" s="30">
        <v>0</v>
      </c>
      <c r="J99" s="30">
        <v>350960</v>
      </c>
      <c r="K99" s="30">
        <v>0</v>
      </c>
      <c r="L99" s="30">
        <v>0</v>
      </c>
      <c r="M99" s="32">
        <f t="shared" si="11"/>
        <v>350960</v>
      </c>
      <c r="N99" s="54">
        <f t="shared" si="12"/>
        <v>1585501</v>
      </c>
    </row>
    <row r="100" spans="1:14" x14ac:dyDescent="0.2">
      <c r="A100" s="72">
        <v>367001</v>
      </c>
      <c r="B100" s="73" t="s">
        <v>119</v>
      </c>
      <c r="C100" s="51">
        <v>1517398</v>
      </c>
      <c r="D100" s="23">
        <v>1376913</v>
      </c>
      <c r="E100" s="23">
        <v>8131</v>
      </c>
      <c r="F100" s="23">
        <v>0</v>
      </c>
      <c r="G100" s="23">
        <v>0</v>
      </c>
      <c r="H100" s="24">
        <f t="shared" si="10"/>
        <v>1385044</v>
      </c>
      <c r="I100" s="23">
        <v>0</v>
      </c>
      <c r="J100" s="23">
        <v>1076266</v>
      </c>
      <c r="K100" s="23">
        <v>0</v>
      </c>
      <c r="L100" s="23">
        <v>0</v>
      </c>
      <c r="M100" s="25">
        <f t="shared" si="11"/>
        <v>1076266</v>
      </c>
      <c r="N100" s="26">
        <f t="shared" si="12"/>
        <v>3978708</v>
      </c>
    </row>
    <row r="101" spans="1:14" x14ac:dyDescent="0.2">
      <c r="A101" s="72">
        <v>368001</v>
      </c>
      <c r="B101" s="73" t="s">
        <v>120</v>
      </c>
      <c r="C101" s="69">
        <v>908571</v>
      </c>
      <c r="D101" s="23">
        <v>441953</v>
      </c>
      <c r="E101" s="23">
        <v>168651</v>
      </c>
      <c r="F101" s="23">
        <v>0</v>
      </c>
      <c r="G101" s="23">
        <v>0</v>
      </c>
      <c r="H101" s="24">
        <f t="shared" si="10"/>
        <v>610604</v>
      </c>
      <c r="I101" s="23">
        <v>0</v>
      </c>
      <c r="J101" s="23">
        <v>479948</v>
      </c>
      <c r="K101" s="23">
        <v>0</v>
      </c>
      <c r="L101" s="23">
        <v>0</v>
      </c>
      <c r="M101" s="25">
        <f t="shared" si="11"/>
        <v>479948</v>
      </c>
      <c r="N101" s="26">
        <f t="shared" si="12"/>
        <v>1999123</v>
      </c>
    </row>
    <row r="102" spans="1:14" x14ac:dyDescent="0.2">
      <c r="A102" s="72">
        <v>369001</v>
      </c>
      <c r="B102" s="73" t="s">
        <v>121</v>
      </c>
      <c r="C102" s="69">
        <v>2766718</v>
      </c>
      <c r="D102" s="23">
        <v>2357184</v>
      </c>
      <c r="E102" s="23">
        <v>0</v>
      </c>
      <c r="F102" s="23">
        <v>0</v>
      </c>
      <c r="G102" s="23">
        <v>0</v>
      </c>
      <c r="H102" s="24">
        <f t="shared" si="10"/>
        <v>2357184</v>
      </c>
      <c r="I102" s="23">
        <v>0</v>
      </c>
      <c r="J102" s="23">
        <v>2374111</v>
      </c>
      <c r="K102" s="23">
        <v>0</v>
      </c>
      <c r="L102" s="23">
        <v>0</v>
      </c>
      <c r="M102" s="25">
        <f t="shared" si="11"/>
        <v>2374111</v>
      </c>
      <c r="N102" s="26">
        <f t="shared" si="12"/>
        <v>7498013</v>
      </c>
    </row>
    <row r="103" spans="1:14" x14ac:dyDescent="0.2">
      <c r="A103" s="72">
        <v>369002</v>
      </c>
      <c r="B103" s="73" t="s">
        <v>122</v>
      </c>
      <c r="C103" s="69">
        <v>2824771</v>
      </c>
      <c r="D103" s="23">
        <v>2325304</v>
      </c>
      <c r="E103" s="23">
        <v>0</v>
      </c>
      <c r="F103" s="23">
        <v>0</v>
      </c>
      <c r="G103" s="23">
        <v>0</v>
      </c>
      <c r="H103" s="24">
        <f t="shared" si="10"/>
        <v>2325304</v>
      </c>
      <c r="I103" s="23">
        <v>92419</v>
      </c>
      <c r="J103" s="23">
        <v>2395097</v>
      </c>
      <c r="K103" s="23">
        <v>0</v>
      </c>
      <c r="L103" s="23">
        <v>0</v>
      </c>
      <c r="M103" s="25">
        <f t="shared" si="11"/>
        <v>2487516</v>
      </c>
      <c r="N103" s="26">
        <f t="shared" si="12"/>
        <v>7637591</v>
      </c>
    </row>
    <row r="104" spans="1:14" x14ac:dyDescent="0.2">
      <c r="A104" s="70">
        <v>371001</v>
      </c>
      <c r="B104" s="28" t="s">
        <v>123</v>
      </c>
      <c r="C104" s="53">
        <v>1694031</v>
      </c>
      <c r="D104" s="30">
        <v>2108114</v>
      </c>
      <c r="E104" s="30">
        <v>0</v>
      </c>
      <c r="F104" s="30">
        <v>0</v>
      </c>
      <c r="G104" s="30">
        <v>0</v>
      </c>
      <c r="H104" s="31">
        <f t="shared" si="10"/>
        <v>2108114</v>
      </c>
      <c r="I104" s="30">
        <v>0</v>
      </c>
      <c r="J104" s="30">
        <v>1545128</v>
      </c>
      <c r="K104" s="30">
        <v>0</v>
      </c>
      <c r="L104" s="30">
        <v>0</v>
      </c>
      <c r="M104" s="32">
        <f t="shared" si="11"/>
        <v>1545128</v>
      </c>
      <c r="N104" s="54">
        <f t="shared" si="12"/>
        <v>5347273</v>
      </c>
    </row>
    <row r="105" spans="1:14" x14ac:dyDescent="0.2">
      <c r="A105" s="15">
        <v>372001</v>
      </c>
      <c r="B105" s="15" t="s">
        <v>124</v>
      </c>
      <c r="C105" s="51">
        <v>2326584</v>
      </c>
      <c r="D105" s="23">
        <v>1667803</v>
      </c>
      <c r="E105" s="23">
        <v>13444</v>
      </c>
      <c r="F105" s="23">
        <v>0</v>
      </c>
      <c r="G105" s="23">
        <v>2440</v>
      </c>
      <c r="H105" s="24">
        <f t="shared" si="10"/>
        <v>1683687</v>
      </c>
      <c r="I105" s="23">
        <v>0</v>
      </c>
      <c r="J105" s="23">
        <v>785304</v>
      </c>
      <c r="K105" s="23">
        <v>0</v>
      </c>
      <c r="L105" s="23">
        <v>0</v>
      </c>
      <c r="M105" s="25">
        <f t="shared" si="11"/>
        <v>785304</v>
      </c>
      <c r="N105" s="26">
        <f t="shared" si="12"/>
        <v>4795575</v>
      </c>
    </row>
    <row r="106" spans="1:14" x14ac:dyDescent="0.2">
      <c r="A106" s="67">
        <v>373001</v>
      </c>
      <c r="B106" s="15" t="s">
        <v>125</v>
      </c>
      <c r="C106" s="69">
        <v>1114798</v>
      </c>
      <c r="D106" s="23">
        <v>806445</v>
      </c>
      <c r="E106" s="23">
        <v>0</v>
      </c>
      <c r="F106" s="23">
        <v>0</v>
      </c>
      <c r="G106" s="23">
        <v>0</v>
      </c>
      <c r="H106" s="24">
        <f t="shared" si="10"/>
        <v>806445</v>
      </c>
      <c r="I106" s="23">
        <v>0</v>
      </c>
      <c r="J106" s="23">
        <v>881086</v>
      </c>
      <c r="K106" s="23">
        <v>0</v>
      </c>
      <c r="L106" s="23">
        <v>0</v>
      </c>
      <c r="M106" s="25">
        <f t="shared" si="11"/>
        <v>881086</v>
      </c>
      <c r="N106" s="26">
        <f t="shared" si="12"/>
        <v>2802329</v>
      </c>
    </row>
    <row r="107" spans="1:14" x14ac:dyDescent="0.2">
      <c r="A107" s="67">
        <v>374001</v>
      </c>
      <c r="B107" s="15" t="s">
        <v>126</v>
      </c>
      <c r="C107" s="69">
        <v>1528796</v>
      </c>
      <c r="D107" s="23">
        <v>1134331</v>
      </c>
      <c r="E107" s="23">
        <v>8647</v>
      </c>
      <c r="F107" s="23">
        <v>0</v>
      </c>
      <c r="G107" s="23">
        <v>0</v>
      </c>
      <c r="H107" s="24">
        <f t="shared" si="10"/>
        <v>1142978</v>
      </c>
      <c r="I107" s="23">
        <v>0</v>
      </c>
      <c r="J107" s="23">
        <v>1064802</v>
      </c>
      <c r="K107" s="23">
        <v>0</v>
      </c>
      <c r="L107" s="23">
        <v>0</v>
      </c>
      <c r="M107" s="25">
        <f t="shared" si="11"/>
        <v>1064802</v>
      </c>
      <c r="N107" s="26">
        <f t="shared" si="12"/>
        <v>3736576</v>
      </c>
    </row>
    <row r="108" spans="1:14" x14ac:dyDescent="0.2">
      <c r="A108" s="67">
        <v>375001</v>
      </c>
      <c r="B108" s="15" t="s">
        <v>127</v>
      </c>
      <c r="C108" s="69">
        <v>871787</v>
      </c>
      <c r="D108" s="23">
        <v>616068</v>
      </c>
      <c r="E108" s="23">
        <v>0</v>
      </c>
      <c r="F108" s="23">
        <v>0</v>
      </c>
      <c r="G108" s="23">
        <v>0</v>
      </c>
      <c r="H108" s="24">
        <f t="shared" si="10"/>
        <v>616068</v>
      </c>
      <c r="I108" s="23">
        <v>0</v>
      </c>
      <c r="J108" s="23">
        <v>709719</v>
      </c>
      <c r="K108" s="23">
        <v>0</v>
      </c>
      <c r="L108" s="23">
        <v>0</v>
      </c>
      <c r="M108" s="25">
        <f t="shared" si="11"/>
        <v>709719</v>
      </c>
      <c r="N108" s="26">
        <f t="shared" si="12"/>
        <v>2197574</v>
      </c>
    </row>
    <row r="109" spans="1:14" x14ac:dyDescent="0.2">
      <c r="A109" s="70">
        <v>376001</v>
      </c>
      <c r="B109" s="28" t="s">
        <v>128</v>
      </c>
      <c r="C109" s="53">
        <v>831736</v>
      </c>
      <c r="D109" s="30">
        <v>681319</v>
      </c>
      <c r="E109" s="30">
        <v>0</v>
      </c>
      <c r="F109" s="30">
        <v>0</v>
      </c>
      <c r="G109" s="30">
        <v>0</v>
      </c>
      <c r="H109" s="31">
        <f t="shared" si="10"/>
        <v>681319</v>
      </c>
      <c r="I109" s="30">
        <v>0</v>
      </c>
      <c r="J109" s="30">
        <v>734206</v>
      </c>
      <c r="K109" s="30">
        <v>0</v>
      </c>
      <c r="L109" s="30">
        <v>0</v>
      </c>
      <c r="M109" s="32">
        <f t="shared" si="11"/>
        <v>734206</v>
      </c>
      <c r="N109" s="54">
        <f t="shared" si="12"/>
        <v>2247261</v>
      </c>
    </row>
    <row r="110" spans="1:14" x14ac:dyDescent="0.2">
      <c r="A110" s="15">
        <v>377001</v>
      </c>
      <c r="B110" s="15" t="s">
        <v>129</v>
      </c>
      <c r="C110" s="51">
        <v>1971143</v>
      </c>
      <c r="D110" s="23">
        <v>995656</v>
      </c>
      <c r="E110" s="23">
        <v>28128</v>
      </c>
      <c r="F110" s="23">
        <v>0</v>
      </c>
      <c r="G110" s="23">
        <v>0</v>
      </c>
      <c r="H110" s="24">
        <f t="shared" si="10"/>
        <v>1023784</v>
      </c>
      <c r="I110" s="23">
        <v>0</v>
      </c>
      <c r="J110" s="23">
        <v>1104794</v>
      </c>
      <c r="K110" s="23">
        <v>0</v>
      </c>
      <c r="L110" s="23">
        <v>0</v>
      </c>
      <c r="M110" s="25">
        <f t="shared" si="11"/>
        <v>1104794</v>
      </c>
      <c r="N110" s="26">
        <f t="shared" si="12"/>
        <v>4099721</v>
      </c>
    </row>
    <row r="111" spans="1:14" x14ac:dyDescent="0.2">
      <c r="A111" s="67">
        <v>377002</v>
      </c>
      <c r="B111" s="15" t="s">
        <v>130</v>
      </c>
      <c r="C111" s="69">
        <v>2053534</v>
      </c>
      <c r="D111" s="23">
        <v>1012143</v>
      </c>
      <c r="E111" s="23">
        <v>29761</v>
      </c>
      <c r="F111" s="23">
        <v>0</v>
      </c>
      <c r="G111" s="23">
        <v>543</v>
      </c>
      <c r="H111" s="24">
        <f t="shared" si="10"/>
        <v>1042447</v>
      </c>
      <c r="I111" s="23">
        <v>0</v>
      </c>
      <c r="J111" s="23">
        <v>706172</v>
      </c>
      <c r="K111" s="23">
        <v>0</v>
      </c>
      <c r="L111" s="23">
        <v>0</v>
      </c>
      <c r="M111" s="25">
        <f t="shared" si="11"/>
        <v>706172</v>
      </c>
      <c r="N111" s="26">
        <f t="shared" si="12"/>
        <v>3802153</v>
      </c>
    </row>
    <row r="112" spans="1:14" x14ac:dyDescent="0.2">
      <c r="A112" s="67">
        <v>377003</v>
      </c>
      <c r="B112" s="15" t="s">
        <v>131</v>
      </c>
      <c r="C112" s="69">
        <v>1632323</v>
      </c>
      <c r="D112" s="23">
        <v>1248468</v>
      </c>
      <c r="E112" s="23">
        <v>27225</v>
      </c>
      <c r="F112" s="23">
        <v>0</v>
      </c>
      <c r="G112" s="23">
        <v>0</v>
      </c>
      <c r="H112" s="24">
        <f t="shared" si="10"/>
        <v>1275693</v>
      </c>
      <c r="I112" s="23">
        <v>0</v>
      </c>
      <c r="J112" s="23">
        <v>1051079</v>
      </c>
      <c r="K112" s="23">
        <v>0</v>
      </c>
      <c r="L112" s="23">
        <v>0</v>
      </c>
      <c r="M112" s="25">
        <f t="shared" si="11"/>
        <v>1051079</v>
      </c>
      <c r="N112" s="26">
        <f t="shared" si="12"/>
        <v>3959095</v>
      </c>
    </row>
    <row r="113" spans="1:14" x14ac:dyDescent="0.2">
      <c r="A113" s="67">
        <v>377004</v>
      </c>
      <c r="B113" s="15" t="s">
        <v>132</v>
      </c>
      <c r="C113" s="69">
        <v>2175895</v>
      </c>
      <c r="D113" s="23">
        <v>1295937</v>
      </c>
      <c r="E113" s="23">
        <v>76472</v>
      </c>
      <c r="F113" s="23">
        <v>0</v>
      </c>
      <c r="G113" s="23">
        <v>655</v>
      </c>
      <c r="H113" s="24">
        <f t="shared" si="10"/>
        <v>1373064</v>
      </c>
      <c r="I113" s="23">
        <v>0</v>
      </c>
      <c r="J113" s="23">
        <v>1450232</v>
      </c>
      <c r="K113" s="23">
        <v>0</v>
      </c>
      <c r="L113" s="23">
        <v>0</v>
      </c>
      <c r="M113" s="25">
        <f t="shared" si="11"/>
        <v>1450232</v>
      </c>
      <c r="N113" s="26">
        <f t="shared" si="12"/>
        <v>4999191</v>
      </c>
    </row>
    <row r="114" spans="1:14" x14ac:dyDescent="0.2">
      <c r="A114" s="70">
        <v>377005</v>
      </c>
      <c r="B114" s="28" t="s">
        <v>133</v>
      </c>
      <c r="C114" s="53">
        <v>2703636</v>
      </c>
      <c r="D114" s="30">
        <v>1395960</v>
      </c>
      <c r="E114" s="30">
        <v>93902</v>
      </c>
      <c r="F114" s="30">
        <v>0</v>
      </c>
      <c r="G114" s="30">
        <v>0</v>
      </c>
      <c r="H114" s="31">
        <f t="shared" si="10"/>
        <v>1489862</v>
      </c>
      <c r="I114" s="30">
        <v>0</v>
      </c>
      <c r="J114" s="30">
        <v>1099005</v>
      </c>
      <c r="K114" s="30">
        <v>0</v>
      </c>
      <c r="L114" s="30">
        <v>0</v>
      </c>
      <c r="M114" s="32">
        <f t="shared" si="11"/>
        <v>1099005</v>
      </c>
      <c r="N114" s="54">
        <f t="shared" si="12"/>
        <v>5292503</v>
      </c>
    </row>
    <row r="115" spans="1:14" x14ac:dyDescent="0.2">
      <c r="A115" s="67">
        <v>379001</v>
      </c>
      <c r="B115" s="15" t="s">
        <v>134</v>
      </c>
      <c r="C115" s="69">
        <v>787151</v>
      </c>
      <c r="D115" s="23">
        <v>634697</v>
      </c>
      <c r="E115" s="23">
        <v>108027</v>
      </c>
      <c r="F115" s="23">
        <v>0</v>
      </c>
      <c r="G115" s="23">
        <v>0</v>
      </c>
      <c r="H115" s="24">
        <f t="shared" si="10"/>
        <v>742724</v>
      </c>
      <c r="I115" s="23">
        <v>0</v>
      </c>
      <c r="J115" s="23">
        <v>532717</v>
      </c>
      <c r="K115" s="23">
        <v>0</v>
      </c>
      <c r="L115" s="23">
        <v>0</v>
      </c>
      <c r="M115" s="25">
        <f t="shared" si="11"/>
        <v>532717</v>
      </c>
      <c r="N115" s="26">
        <f t="shared" si="12"/>
        <v>2062592</v>
      </c>
    </row>
    <row r="116" spans="1:14" x14ac:dyDescent="0.2">
      <c r="A116" s="67">
        <v>380001</v>
      </c>
      <c r="B116" s="15" t="s">
        <v>135</v>
      </c>
      <c r="C116" s="69">
        <v>1491441</v>
      </c>
      <c r="D116" s="23">
        <v>1279231</v>
      </c>
      <c r="E116" s="23">
        <v>95546</v>
      </c>
      <c r="F116" s="23">
        <v>0</v>
      </c>
      <c r="G116" s="23">
        <v>0</v>
      </c>
      <c r="H116" s="24">
        <f t="shared" si="10"/>
        <v>1374777</v>
      </c>
      <c r="I116" s="23">
        <v>0</v>
      </c>
      <c r="J116" s="23">
        <v>1228966</v>
      </c>
      <c r="K116" s="23">
        <v>0</v>
      </c>
      <c r="L116" s="23">
        <v>0</v>
      </c>
      <c r="M116" s="25">
        <f t="shared" si="11"/>
        <v>1228966</v>
      </c>
      <c r="N116" s="26">
        <f t="shared" si="12"/>
        <v>4095184</v>
      </c>
    </row>
    <row r="117" spans="1:14" x14ac:dyDescent="0.2">
      <c r="A117" s="67">
        <v>381001</v>
      </c>
      <c r="B117" s="76" t="s">
        <v>136</v>
      </c>
      <c r="C117" s="69">
        <v>1009918</v>
      </c>
      <c r="D117" s="23">
        <v>754377</v>
      </c>
      <c r="E117" s="23">
        <v>0</v>
      </c>
      <c r="F117" s="23">
        <v>0</v>
      </c>
      <c r="G117" s="23">
        <v>0</v>
      </c>
      <c r="H117" s="24">
        <f t="shared" si="10"/>
        <v>754377</v>
      </c>
      <c r="I117" s="23">
        <v>0</v>
      </c>
      <c r="J117" s="23">
        <v>843366</v>
      </c>
      <c r="K117" s="23">
        <v>0</v>
      </c>
      <c r="L117" s="23">
        <v>0</v>
      </c>
      <c r="M117" s="25">
        <f t="shared" si="11"/>
        <v>843366</v>
      </c>
      <c r="N117" s="26">
        <f t="shared" si="12"/>
        <v>2607661</v>
      </c>
    </row>
    <row r="118" spans="1:14" x14ac:dyDescent="0.2">
      <c r="A118" s="15">
        <v>382001</v>
      </c>
      <c r="B118" s="15" t="s">
        <v>137</v>
      </c>
      <c r="C118" s="69">
        <v>2406369</v>
      </c>
      <c r="D118" s="23">
        <v>1037915</v>
      </c>
      <c r="E118" s="23">
        <v>0</v>
      </c>
      <c r="F118" s="23">
        <v>0</v>
      </c>
      <c r="G118" s="23">
        <v>0</v>
      </c>
      <c r="H118" s="24">
        <f t="shared" si="10"/>
        <v>1037915</v>
      </c>
      <c r="I118" s="23">
        <v>0</v>
      </c>
      <c r="J118" s="23">
        <v>670349</v>
      </c>
      <c r="K118" s="23">
        <v>0</v>
      </c>
      <c r="L118" s="23">
        <v>0</v>
      </c>
      <c r="M118" s="25">
        <f t="shared" si="11"/>
        <v>670349</v>
      </c>
      <c r="N118" s="26">
        <f t="shared" si="12"/>
        <v>4114633</v>
      </c>
    </row>
    <row r="119" spans="1:14" x14ac:dyDescent="0.2">
      <c r="A119" s="70">
        <v>383001</v>
      </c>
      <c r="B119" s="77" t="s">
        <v>138</v>
      </c>
      <c r="C119" s="53">
        <v>1255718</v>
      </c>
      <c r="D119" s="30">
        <v>969784</v>
      </c>
      <c r="E119" s="30">
        <v>0</v>
      </c>
      <c r="F119" s="30">
        <v>0</v>
      </c>
      <c r="G119" s="30">
        <v>0</v>
      </c>
      <c r="H119" s="31">
        <f t="shared" si="10"/>
        <v>969784</v>
      </c>
      <c r="I119" s="30">
        <v>0</v>
      </c>
      <c r="J119" s="30">
        <v>548822</v>
      </c>
      <c r="K119" s="30">
        <v>0</v>
      </c>
      <c r="L119" s="30">
        <v>0</v>
      </c>
      <c r="M119" s="32">
        <f t="shared" si="11"/>
        <v>548822</v>
      </c>
      <c r="N119" s="54">
        <f t="shared" si="12"/>
        <v>2774324</v>
      </c>
    </row>
    <row r="120" spans="1:14" x14ac:dyDescent="0.2">
      <c r="A120" s="67">
        <v>384001</v>
      </c>
      <c r="B120" s="15" t="s">
        <v>139</v>
      </c>
      <c r="C120" s="51">
        <v>2324569</v>
      </c>
      <c r="D120" s="23">
        <v>1850590</v>
      </c>
      <c r="E120" s="23">
        <v>12179</v>
      </c>
      <c r="F120" s="23">
        <v>0</v>
      </c>
      <c r="G120" s="23">
        <v>0</v>
      </c>
      <c r="H120" s="24">
        <f t="shared" si="10"/>
        <v>1862769</v>
      </c>
      <c r="I120" s="23">
        <v>0</v>
      </c>
      <c r="J120" s="23">
        <v>976783</v>
      </c>
      <c r="K120" s="23">
        <v>0</v>
      </c>
      <c r="L120" s="23">
        <v>0</v>
      </c>
      <c r="M120" s="25">
        <f t="shared" si="11"/>
        <v>976783</v>
      </c>
      <c r="N120" s="26">
        <f t="shared" si="12"/>
        <v>5164121</v>
      </c>
    </row>
    <row r="121" spans="1:14" x14ac:dyDescent="0.2">
      <c r="A121" s="67">
        <v>385001</v>
      </c>
      <c r="B121" s="15" t="s">
        <v>140</v>
      </c>
      <c r="C121" s="69">
        <v>2842965</v>
      </c>
      <c r="D121" s="23">
        <v>2220078</v>
      </c>
      <c r="E121" s="23">
        <v>0</v>
      </c>
      <c r="F121" s="23">
        <v>0</v>
      </c>
      <c r="G121" s="23">
        <v>0</v>
      </c>
      <c r="H121" s="24">
        <f t="shared" si="10"/>
        <v>2220078</v>
      </c>
      <c r="I121" s="23">
        <v>0</v>
      </c>
      <c r="J121" s="23">
        <v>1117217</v>
      </c>
      <c r="K121" s="23">
        <v>0</v>
      </c>
      <c r="L121" s="23">
        <v>0</v>
      </c>
      <c r="M121" s="25">
        <f t="shared" si="11"/>
        <v>1117217</v>
      </c>
      <c r="N121" s="26">
        <f t="shared" si="12"/>
        <v>6180260</v>
      </c>
    </row>
    <row r="122" spans="1:14" x14ac:dyDescent="0.2">
      <c r="A122" s="15">
        <v>387001</v>
      </c>
      <c r="B122" s="15" t="s">
        <v>141</v>
      </c>
      <c r="C122" s="69">
        <v>2778047</v>
      </c>
      <c r="D122" s="23">
        <v>2142024</v>
      </c>
      <c r="E122" s="23">
        <v>1439</v>
      </c>
      <c r="F122" s="23">
        <v>0</v>
      </c>
      <c r="G122" s="23">
        <v>1000</v>
      </c>
      <c r="H122" s="24">
        <f t="shared" si="10"/>
        <v>2144463</v>
      </c>
      <c r="I122" s="23">
        <v>0</v>
      </c>
      <c r="J122" s="23">
        <v>1129356</v>
      </c>
      <c r="K122" s="23">
        <v>0</v>
      </c>
      <c r="L122" s="23">
        <v>0</v>
      </c>
      <c r="M122" s="25">
        <f t="shared" si="11"/>
        <v>1129356</v>
      </c>
      <c r="N122" s="26">
        <f t="shared" si="12"/>
        <v>6051866</v>
      </c>
    </row>
    <row r="123" spans="1:14" x14ac:dyDescent="0.2">
      <c r="A123" s="67">
        <v>388001</v>
      </c>
      <c r="B123" s="15" t="s">
        <v>142</v>
      </c>
      <c r="C123" s="69">
        <v>2289776</v>
      </c>
      <c r="D123" s="23">
        <v>2044264</v>
      </c>
      <c r="E123" s="23">
        <v>0</v>
      </c>
      <c r="F123" s="23">
        <v>0</v>
      </c>
      <c r="G123" s="23">
        <v>0</v>
      </c>
      <c r="H123" s="24">
        <f t="shared" si="10"/>
        <v>2044264</v>
      </c>
      <c r="I123" s="23">
        <v>0</v>
      </c>
      <c r="J123" s="23">
        <v>1276145</v>
      </c>
      <c r="K123" s="23">
        <v>0</v>
      </c>
      <c r="L123" s="23">
        <v>0</v>
      </c>
      <c r="M123" s="25">
        <f t="shared" si="11"/>
        <v>1276145</v>
      </c>
      <c r="N123" s="26">
        <f t="shared" si="12"/>
        <v>5610185</v>
      </c>
    </row>
    <row r="124" spans="1:14" x14ac:dyDescent="0.2">
      <c r="A124" s="70">
        <v>389001</v>
      </c>
      <c r="B124" s="77" t="s">
        <v>143</v>
      </c>
      <c r="C124" s="53">
        <v>2546375</v>
      </c>
      <c r="D124" s="30">
        <v>1900665</v>
      </c>
      <c r="E124" s="30">
        <v>0</v>
      </c>
      <c r="F124" s="30">
        <v>0</v>
      </c>
      <c r="G124" s="30">
        <v>0</v>
      </c>
      <c r="H124" s="31">
        <f t="shared" si="10"/>
        <v>1900665</v>
      </c>
      <c r="I124" s="30">
        <v>0</v>
      </c>
      <c r="J124" s="30">
        <f>1086174-'[1]Hurricane Data'!L12</f>
        <v>1041524</v>
      </c>
      <c r="K124" s="30">
        <v>0</v>
      </c>
      <c r="L124" s="30">
        <v>0</v>
      </c>
      <c r="M124" s="32">
        <f t="shared" si="11"/>
        <v>1041524</v>
      </c>
      <c r="N124" s="54">
        <f t="shared" si="12"/>
        <v>5488564</v>
      </c>
    </row>
    <row r="125" spans="1:14" x14ac:dyDescent="0.2">
      <c r="A125" s="67">
        <v>389002</v>
      </c>
      <c r="B125" s="15" t="s">
        <v>144</v>
      </c>
      <c r="C125" s="51">
        <v>2261496</v>
      </c>
      <c r="D125" s="23">
        <v>1623293</v>
      </c>
      <c r="E125" s="23">
        <v>0</v>
      </c>
      <c r="F125" s="23">
        <v>0</v>
      </c>
      <c r="G125" s="23">
        <v>0</v>
      </c>
      <c r="H125" s="24">
        <f t="shared" si="10"/>
        <v>1623293</v>
      </c>
      <c r="I125" s="23">
        <v>0</v>
      </c>
      <c r="J125" s="23">
        <v>652345</v>
      </c>
      <c r="K125" s="23">
        <v>0</v>
      </c>
      <c r="L125" s="23">
        <v>0</v>
      </c>
      <c r="M125" s="25">
        <f t="shared" si="11"/>
        <v>652345</v>
      </c>
      <c r="N125" s="26">
        <f t="shared" si="12"/>
        <v>4537134</v>
      </c>
    </row>
    <row r="126" spans="1:14" x14ac:dyDescent="0.2">
      <c r="A126" s="67">
        <v>390001</v>
      </c>
      <c r="B126" s="76" t="s">
        <v>145</v>
      </c>
      <c r="C126" s="69">
        <v>2479367</v>
      </c>
      <c r="D126" s="23">
        <v>2239029</v>
      </c>
      <c r="E126" s="23">
        <v>0</v>
      </c>
      <c r="F126" s="23">
        <v>0</v>
      </c>
      <c r="G126" s="23">
        <v>0</v>
      </c>
      <c r="H126" s="24">
        <f t="shared" si="10"/>
        <v>2239029</v>
      </c>
      <c r="I126" s="23">
        <v>0</v>
      </c>
      <c r="J126" s="23">
        <v>1572161</v>
      </c>
      <c r="K126" s="23">
        <v>0</v>
      </c>
      <c r="L126" s="23">
        <v>0</v>
      </c>
      <c r="M126" s="25">
        <f t="shared" si="11"/>
        <v>1572161</v>
      </c>
      <c r="N126" s="26">
        <f t="shared" si="12"/>
        <v>6290557</v>
      </c>
    </row>
    <row r="127" spans="1:14" x14ac:dyDescent="0.2">
      <c r="A127" s="15">
        <v>391001</v>
      </c>
      <c r="B127" s="15" t="s">
        <v>146</v>
      </c>
      <c r="C127" s="69">
        <v>2832779</v>
      </c>
      <c r="D127" s="23">
        <v>2182147</v>
      </c>
      <c r="E127" s="23">
        <v>59086</v>
      </c>
      <c r="F127" s="23">
        <v>0</v>
      </c>
      <c r="G127" s="23">
        <v>682</v>
      </c>
      <c r="H127" s="24">
        <f t="shared" si="10"/>
        <v>2241915</v>
      </c>
      <c r="I127" s="23">
        <v>0</v>
      </c>
      <c r="J127" s="23">
        <v>1950695</v>
      </c>
      <c r="K127" s="23">
        <v>0</v>
      </c>
      <c r="L127" s="23">
        <v>5899</v>
      </c>
      <c r="M127" s="25">
        <f t="shared" si="11"/>
        <v>1956594</v>
      </c>
      <c r="N127" s="26">
        <f t="shared" si="12"/>
        <v>7031288</v>
      </c>
    </row>
    <row r="128" spans="1:14" x14ac:dyDescent="0.2">
      <c r="A128" s="67">
        <v>392001</v>
      </c>
      <c r="B128" s="15" t="s">
        <v>147</v>
      </c>
      <c r="C128" s="69">
        <v>1817944</v>
      </c>
      <c r="D128" s="23">
        <v>1380574</v>
      </c>
      <c r="E128" s="23">
        <v>38792</v>
      </c>
      <c r="F128" s="23">
        <v>0</v>
      </c>
      <c r="G128" s="23">
        <v>627</v>
      </c>
      <c r="H128" s="24">
        <f t="shared" si="10"/>
        <v>1419993</v>
      </c>
      <c r="I128" s="23">
        <v>0</v>
      </c>
      <c r="J128" s="23">
        <v>884142</v>
      </c>
      <c r="K128" s="23">
        <v>0</v>
      </c>
      <c r="L128" s="23">
        <v>0</v>
      </c>
      <c r="M128" s="25">
        <f t="shared" si="11"/>
        <v>884142</v>
      </c>
      <c r="N128" s="26">
        <f t="shared" si="12"/>
        <v>4122079</v>
      </c>
    </row>
    <row r="129" spans="1:14" x14ac:dyDescent="0.2">
      <c r="A129" s="70">
        <v>393001</v>
      </c>
      <c r="B129" s="77" t="s">
        <v>148</v>
      </c>
      <c r="C129" s="53">
        <v>3698969</v>
      </c>
      <c r="D129" s="30">
        <v>2955176</v>
      </c>
      <c r="E129" s="30">
        <v>45067</v>
      </c>
      <c r="F129" s="30">
        <v>0</v>
      </c>
      <c r="G129" s="30">
        <v>0</v>
      </c>
      <c r="H129" s="31">
        <f t="shared" si="10"/>
        <v>3000243</v>
      </c>
      <c r="I129" s="30">
        <v>0</v>
      </c>
      <c r="J129" s="30">
        <v>1669309</v>
      </c>
      <c r="K129" s="30">
        <v>0</v>
      </c>
      <c r="L129" s="30">
        <v>0</v>
      </c>
      <c r="M129" s="32">
        <f t="shared" si="11"/>
        <v>1669309</v>
      </c>
      <c r="N129" s="54">
        <f t="shared" si="12"/>
        <v>8368521</v>
      </c>
    </row>
    <row r="130" spans="1:14" x14ac:dyDescent="0.2">
      <c r="A130" s="67">
        <v>393002</v>
      </c>
      <c r="B130" s="15" t="s">
        <v>149</v>
      </c>
      <c r="C130" s="69">
        <v>1782200</v>
      </c>
      <c r="D130" s="23">
        <v>1337954</v>
      </c>
      <c r="E130" s="23">
        <v>0</v>
      </c>
      <c r="F130" s="23">
        <v>0</v>
      </c>
      <c r="G130" s="23">
        <v>0</v>
      </c>
      <c r="H130" s="24">
        <f t="shared" si="10"/>
        <v>1337954</v>
      </c>
      <c r="I130" s="23">
        <v>0</v>
      </c>
      <c r="J130" s="23">
        <v>1457831</v>
      </c>
      <c r="K130" s="23">
        <v>0</v>
      </c>
      <c r="L130" s="23">
        <v>0</v>
      </c>
      <c r="M130" s="25">
        <f t="shared" si="11"/>
        <v>1457831</v>
      </c>
      <c r="N130" s="26">
        <f t="shared" si="12"/>
        <v>4577985</v>
      </c>
    </row>
    <row r="131" spans="1:14" x14ac:dyDescent="0.2">
      <c r="A131" s="67">
        <v>394003</v>
      </c>
      <c r="B131" s="15" t="s">
        <v>150</v>
      </c>
      <c r="C131" s="69">
        <v>2284099</v>
      </c>
      <c r="D131" s="23">
        <v>1616906</v>
      </c>
      <c r="E131" s="23">
        <v>70920</v>
      </c>
      <c r="F131" s="23">
        <v>0</v>
      </c>
      <c r="G131" s="23">
        <v>1994</v>
      </c>
      <c r="H131" s="24">
        <f t="shared" si="10"/>
        <v>1689820</v>
      </c>
      <c r="I131" s="23">
        <v>0</v>
      </c>
      <c r="J131" s="23">
        <v>933590</v>
      </c>
      <c r="K131" s="23">
        <v>0</v>
      </c>
      <c r="L131" s="23">
        <v>0</v>
      </c>
      <c r="M131" s="25">
        <f t="shared" si="11"/>
        <v>933590</v>
      </c>
      <c r="N131" s="26">
        <f t="shared" si="12"/>
        <v>4907509</v>
      </c>
    </row>
    <row r="132" spans="1:14" x14ac:dyDescent="0.2">
      <c r="A132" s="67">
        <v>395001</v>
      </c>
      <c r="B132" s="76" t="s">
        <v>151</v>
      </c>
      <c r="C132" s="69">
        <v>2575977</v>
      </c>
      <c r="D132" s="23">
        <v>2133360</v>
      </c>
      <c r="E132" s="23">
        <v>67619</v>
      </c>
      <c r="F132" s="23">
        <v>0</v>
      </c>
      <c r="G132" s="23">
        <v>0</v>
      </c>
      <c r="H132" s="24">
        <f t="shared" si="10"/>
        <v>2200979</v>
      </c>
      <c r="I132" s="23">
        <v>0</v>
      </c>
      <c r="J132" s="23">
        <v>1948504</v>
      </c>
      <c r="K132" s="23">
        <v>0</v>
      </c>
      <c r="L132" s="23">
        <v>0</v>
      </c>
      <c r="M132" s="25">
        <f t="shared" si="11"/>
        <v>1948504</v>
      </c>
      <c r="N132" s="26">
        <f t="shared" si="12"/>
        <v>6725460</v>
      </c>
    </row>
    <row r="133" spans="1:14" x14ac:dyDescent="0.2">
      <c r="A133" s="15">
        <v>395002</v>
      </c>
      <c r="B133" s="15" t="s">
        <v>152</v>
      </c>
      <c r="C133" s="69">
        <v>2490586</v>
      </c>
      <c r="D133" s="23">
        <v>2035483</v>
      </c>
      <c r="E133" s="23">
        <v>58601</v>
      </c>
      <c r="F133" s="23">
        <v>0</v>
      </c>
      <c r="G133" s="23">
        <v>0</v>
      </c>
      <c r="H133" s="24">
        <f t="shared" si="10"/>
        <v>2094084</v>
      </c>
      <c r="I133" s="23">
        <v>0</v>
      </c>
      <c r="J133" s="23">
        <v>1784568</v>
      </c>
      <c r="K133" s="23">
        <v>0</v>
      </c>
      <c r="L133" s="23">
        <v>0</v>
      </c>
      <c r="M133" s="25">
        <f t="shared" si="11"/>
        <v>1784568</v>
      </c>
      <c r="N133" s="26">
        <f t="shared" si="12"/>
        <v>6369238</v>
      </c>
    </row>
    <row r="134" spans="1:14" x14ac:dyDescent="0.2">
      <c r="A134" s="70">
        <v>395003</v>
      </c>
      <c r="B134" s="77" t="s">
        <v>153</v>
      </c>
      <c r="C134" s="53">
        <v>1953283</v>
      </c>
      <c r="D134" s="30">
        <v>1559249</v>
      </c>
      <c r="E134" s="30">
        <v>59103</v>
      </c>
      <c r="F134" s="30">
        <v>0</v>
      </c>
      <c r="G134" s="30">
        <v>0</v>
      </c>
      <c r="H134" s="31">
        <f t="shared" si="10"/>
        <v>1618352</v>
      </c>
      <c r="I134" s="30">
        <v>0</v>
      </c>
      <c r="J134" s="30">
        <v>1459192</v>
      </c>
      <c r="K134" s="30">
        <v>0</v>
      </c>
      <c r="L134" s="30">
        <v>0</v>
      </c>
      <c r="M134" s="32">
        <f t="shared" si="11"/>
        <v>1459192</v>
      </c>
      <c r="N134" s="54">
        <f t="shared" si="12"/>
        <v>5030827</v>
      </c>
    </row>
    <row r="135" spans="1:14" x14ac:dyDescent="0.2">
      <c r="A135" s="67">
        <v>395004</v>
      </c>
      <c r="B135" s="15" t="s">
        <v>154</v>
      </c>
      <c r="C135" s="69">
        <v>2212356</v>
      </c>
      <c r="D135" s="23">
        <v>2033365</v>
      </c>
      <c r="E135" s="23">
        <v>69266</v>
      </c>
      <c r="F135" s="23">
        <v>0</v>
      </c>
      <c r="G135" s="23">
        <v>1058</v>
      </c>
      <c r="H135" s="24">
        <f t="shared" si="10"/>
        <v>2103689</v>
      </c>
      <c r="I135" s="23">
        <v>0</v>
      </c>
      <c r="J135" s="23">
        <v>1735529</v>
      </c>
      <c r="K135" s="23">
        <v>0</v>
      </c>
      <c r="L135" s="23">
        <v>0</v>
      </c>
      <c r="M135" s="25">
        <f t="shared" si="11"/>
        <v>1735529</v>
      </c>
      <c r="N135" s="26">
        <f t="shared" si="12"/>
        <v>6051574</v>
      </c>
    </row>
    <row r="136" spans="1:14" x14ac:dyDescent="0.2">
      <c r="A136" s="67">
        <v>395005</v>
      </c>
      <c r="B136" s="15" t="s">
        <v>155</v>
      </c>
      <c r="C136" s="69">
        <v>3723383</v>
      </c>
      <c r="D136" s="23">
        <v>3641124</v>
      </c>
      <c r="E136" s="23">
        <v>53626</v>
      </c>
      <c r="F136" s="23">
        <v>0</v>
      </c>
      <c r="G136" s="23">
        <v>1172</v>
      </c>
      <c r="H136" s="24">
        <f t="shared" si="10"/>
        <v>3695922</v>
      </c>
      <c r="I136" s="23">
        <v>0</v>
      </c>
      <c r="J136" s="23">
        <v>2190182</v>
      </c>
      <c r="K136" s="23">
        <v>0</v>
      </c>
      <c r="L136" s="23">
        <v>0</v>
      </c>
      <c r="M136" s="25">
        <f t="shared" si="11"/>
        <v>2190182</v>
      </c>
      <c r="N136" s="26">
        <f t="shared" si="12"/>
        <v>9609487</v>
      </c>
    </row>
    <row r="137" spans="1:14" x14ac:dyDescent="0.2">
      <c r="A137" s="67">
        <v>395006</v>
      </c>
      <c r="B137" s="76" t="s">
        <v>156</v>
      </c>
      <c r="C137" s="69">
        <v>1886064</v>
      </c>
      <c r="D137" s="23">
        <v>1633954</v>
      </c>
      <c r="E137" s="23">
        <v>94744</v>
      </c>
      <c r="F137" s="23">
        <v>0</v>
      </c>
      <c r="G137" s="23">
        <v>1763</v>
      </c>
      <c r="H137" s="24">
        <f t="shared" si="10"/>
        <v>1730461</v>
      </c>
      <c r="I137" s="23">
        <v>0</v>
      </c>
      <c r="J137" s="23">
        <v>1917829</v>
      </c>
      <c r="K137" s="23">
        <v>0</v>
      </c>
      <c r="L137" s="23">
        <v>0</v>
      </c>
      <c r="M137" s="25">
        <f t="shared" si="11"/>
        <v>1917829</v>
      </c>
      <c r="N137" s="26">
        <f t="shared" si="12"/>
        <v>5534354</v>
      </c>
    </row>
    <row r="138" spans="1:14" x14ac:dyDescent="0.2">
      <c r="A138" s="15">
        <v>395007</v>
      </c>
      <c r="B138" s="15" t="s">
        <v>157</v>
      </c>
      <c r="C138" s="69">
        <v>1452399</v>
      </c>
      <c r="D138" s="23">
        <v>1253360</v>
      </c>
      <c r="E138" s="23">
        <v>69057</v>
      </c>
      <c r="F138" s="23">
        <v>0</v>
      </c>
      <c r="G138" s="23">
        <v>351</v>
      </c>
      <c r="H138" s="24">
        <f t="shared" si="10"/>
        <v>1322768</v>
      </c>
      <c r="I138" s="23">
        <v>0</v>
      </c>
      <c r="J138" s="23">
        <v>1194904</v>
      </c>
      <c r="K138" s="23">
        <v>0</v>
      </c>
      <c r="L138" s="23">
        <v>0</v>
      </c>
      <c r="M138" s="25">
        <f t="shared" si="11"/>
        <v>1194904</v>
      </c>
      <c r="N138" s="26">
        <f t="shared" si="12"/>
        <v>3970071</v>
      </c>
    </row>
    <row r="139" spans="1:14" x14ac:dyDescent="0.2">
      <c r="A139" s="70">
        <v>397001</v>
      </c>
      <c r="B139" s="77" t="s">
        <v>158</v>
      </c>
      <c r="C139" s="53">
        <v>1709343</v>
      </c>
      <c r="D139" s="30">
        <v>1384108</v>
      </c>
      <c r="E139" s="30">
        <v>29706</v>
      </c>
      <c r="F139" s="30">
        <v>0</v>
      </c>
      <c r="G139" s="30">
        <v>0</v>
      </c>
      <c r="H139" s="31">
        <f t="shared" si="10"/>
        <v>1413814</v>
      </c>
      <c r="I139" s="30">
        <v>0</v>
      </c>
      <c r="J139" s="30">
        <v>1477224</v>
      </c>
      <c r="K139" s="30">
        <v>0</v>
      </c>
      <c r="L139" s="30">
        <v>0</v>
      </c>
      <c r="M139" s="32">
        <f t="shared" si="11"/>
        <v>1477224</v>
      </c>
      <c r="N139" s="54">
        <f t="shared" si="12"/>
        <v>4600381</v>
      </c>
    </row>
    <row r="140" spans="1:14" x14ac:dyDescent="0.2">
      <c r="A140" s="67">
        <v>398001</v>
      </c>
      <c r="B140" s="15" t="s">
        <v>159</v>
      </c>
      <c r="C140" s="69">
        <v>1790380</v>
      </c>
      <c r="D140" s="23">
        <v>1280918</v>
      </c>
      <c r="E140" s="23">
        <v>0</v>
      </c>
      <c r="F140" s="23">
        <v>0</v>
      </c>
      <c r="G140" s="23">
        <v>0</v>
      </c>
      <c r="H140" s="24">
        <f t="shared" si="10"/>
        <v>1280918</v>
      </c>
      <c r="I140" s="23">
        <v>0</v>
      </c>
      <c r="J140" s="23">
        <v>767813</v>
      </c>
      <c r="K140" s="23">
        <v>0</v>
      </c>
      <c r="L140" s="23">
        <v>0</v>
      </c>
      <c r="M140" s="25">
        <f t="shared" si="11"/>
        <v>767813</v>
      </c>
      <c r="N140" s="26">
        <f t="shared" si="12"/>
        <v>3839111</v>
      </c>
    </row>
    <row r="141" spans="1:14" x14ac:dyDescent="0.2">
      <c r="A141" s="67">
        <v>398002</v>
      </c>
      <c r="B141" s="15" t="s">
        <v>160</v>
      </c>
      <c r="C141" s="69">
        <v>2325296</v>
      </c>
      <c r="D141" s="23">
        <v>1701001</v>
      </c>
      <c r="E141" s="23">
        <v>0</v>
      </c>
      <c r="F141" s="23">
        <v>0</v>
      </c>
      <c r="G141" s="23">
        <v>0</v>
      </c>
      <c r="H141" s="24">
        <f t="shared" si="10"/>
        <v>1701001</v>
      </c>
      <c r="I141" s="23">
        <v>0</v>
      </c>
      <c r="J141" s="23">
        <v>1340069</v>
      </c>
      <c r="K141" s="23">
        <v>0</v>
      </c>
      <c r="L141" s="23">
        <v>0</v>
      </c>
      <c r="M141" s="25">
        <f t="shared" si="11"/>
        <v>1340069</v>
      </c>
      <c r="N141" s="26">
        <f t="shared" si="12"/>
        <v>5366366</v>
      </c>
    </row>
    <row r="142" spans="1:14" x14ac:dyDescent="0.2">
      <c r="A142" s="67">
        <v>398003</v>
      </c>
      <c r="B142" s="76" t="s">
        <v>161</v>
      </c>
      <c r="C142" s="69">
        <v>1673015</v>
      </c>
      <c r="D142" s="23">
        <v>1324214</v>
      </c>
      <c r="E142" s="23">
        <v>0</v>
      </c>
      <c r="F142" s="23">
        <v>0</v>
      </c>
      <c r="G142" s="23">
        <v>0</v>
      </c>
      <c r="H142" s="24">
        <f t="shared" si="10"/>
        <v>1324214</v>
      </c>
      <c r="I142" s="23">
        <v>0</v>
      </c>
      <c r="J142" s="23">
        <v>848921</v>
      </c>
      <c r="K142" s="23">
        <v>0</v>
      </c>
      <c r="L142" s="23">
        <v>0</v>
      </c>
      <c r="M142" s="25">
        <f t="shared" si="11"/>
        <v>848921</v>
      </c>
      <c r="N142" s="26">
        <f t="shared" si="12"/>
        <v>3846150</v>
      </c>
    </row>
    <row r="143" spans="1:14" x14ac:dyDescent="0.2">
      <c r="A143" s="15">
        <v>398004</v>
      </c>
      <c r="B143" s="15" t="s">
        <v>162</v>
      </c>
      <c r="C143" s="69">
        <v>1320265</v>
      </c>
      <c r="D143" s="23">
        <v>1007774</v>
      </c>
      <c r="E143" s="23">
        <v>0</v>
      </c>
      <c r="F143" s="23">
        <v>0</v>
      </c>
      <c r="G143" s="23">
        <v>0</v>
      </c>
      <c r="H143" s="24">
        <f t="shared" si="10"/>
        <v>1007774</v>
      </c>
      <c r="I143" s="23">
        <v>0</v>
      </c>
      <c r="J143" s="23">
        <v>878178</v>
      </c>
      <c r="K143" s="23">
        <v>0</v>
      </c>
      <c r="L143" s="23">
        <v>0</v>
      </c>
      <c r="M143" s="25">
        <f t="shared" si="11"/>
        <v>878178</v>
      </c>
      <c r="N143" s="26">
        <f t="shared" si="12"/>
        <v>3206217</v>
      </c>
    </row>
    <row r="144" spans="1:14" x14ac:dyDescent="0.2">
      <c r="A144" s="74">
        <v>398004</v>
      </c>
      <c r="B144" s="75" t="s">
        <v>163</v>
      </c>
      <c r="C144" s="69">
        <v>1043454</v>
      </c>
      <c r="D144" s="23">
        <v>562668</v>
      </c>
      <c r="E144" s="23">
        <v>0</v>
      </c>
      <c r="F144" s="23">
        <v>0</v>
      </c>
      <c r="G144" s="23">
        <v>0</v>
      </c>
      <c r="H144" s="24">
        <f t="shared" si="10"/>
        <v>562668</v>
      </c>
      <c r="I144" s="23">
        <v>0</v>
      </c>
      <c r="J144" s="23">
        <v>499291</v>
      </c>
      <c r="K144" s="23">
        <v>0</v>
      </c>
      <c r="L144" s="23">
        <v>0</v>
      </c>
      <c r="M144" s="25">
        <f t="shared" si="11"/>
        <v>499291</v>
      </c>
      <c r="N144" s="26">
        <f t="shared" si="12"/>
        <v>2105413</v>
      </c>
    </row>
    <row r="145" spans="1:17" x14ac:dyDescent="0.2">
      <c r="A145" s="72">
        <v>398005</v>
      </c>
      <c r="B145" s="73" t="s">
        <v>164</v>
      </c>
      <c r="C145" s="51">
        <v>828681</v>
      </c>
      <c r="D145" s="17">
        <v>347491</v>
      </c>
      <c r="E145" s="17">
        <v>0</v>
      </c>
      <c r="F145" s="17">
        <v>0</v>
      </c>
      <c r="G145" s="17">
        <v>0</v>
      </c>
      <c r="H145" s="18">
        <f t="shared" si="10"/>
        <v>347491</v>
      </c>
      <c r="I145" s="17">
        <v>0</v>
      </c>
      <c r="J145" s="17">
        <v>438581</v>
      </c>
      <c r="K145" s="17">
        <v>0</v>
      </c>
      <c r="L145" s="17">
        <v>0</v>
      </c>
      <c r="M145" s="19">
        <f t="shared" si="11"/>
        <v>438581</v>
      </c>
      <c r="N145" s="20">
        <f t="shared" si="12"/>
        <v>1614753</v>
      </c>
    </row>
    <row r="146" spans="1:17" x14ac:dyDescent="0.2">
      <c r="A146" s="67">
        <v>399001</v>
      </c>
      <c r="B146" s="15" t="s">
        <v>165</v>
      </c>
      <c r="C146" s="69">
        <v>2240662</v>
      </c>
      <c r="D146" s="23">
        <v>1985111</v>
      </c>
      <c r="E146" s="23">
        <v>10146</v>
      </c>
      <c r="F146" s="23">
        <v>0</v>
      </c>
      <c r="G146" s="23">
        <v>0</v>
      </c>
      <c r="H146" s="24">
        <f t="shared" si="10"/>
        <v>1995257</v>
      </c>
      <c r="I146" s="23">
        <v>0</v>
      </c>
      <c r="J146" s="23">
        <v>1250986</v>
      </c>
      <c r="K146" s="23">
        <v>0</v>
      </c>
      <c r="L146" s="23">
        <v>12500</v>
      </c>
      <c r="M146" s="25">
        <f t="shared" si="11"/>
        <v>1263486</v>
      </c>
      <c r="N146" s="26">
        <f t="shared" si="12"/>
        <v>5499405</v>
      </c>
    </row>
    <row r="147" spans="1:17" x14ac:dyDescent="0.2">
      <c r="A147" s="67">
        <v>399002</v>
      </c>
      <c r="B147" s="15" t="s">
        <v>166</v>
      </c>
      <c r="C147" s="69">
        <v>1448813</v>
      </c>
      <c r="D147" s="23">
        <v>1520488</v>
      </c>
      <c r="E147" s="23">
        <v>0</v>
      </c>
      <c r="F147" s="23">
        <v>0</v>
      </c>
      <c r="G147" s="23">
        <v>5088</v>
      </c>
      <c r="H147" s="24">
        <f t="shared" si="10"/>
        <v>1525576</v>
      </c>
      <c r="I147" s="23">
        <v>0</v>
      </c>
      <c r="J147" s="23">
        <v>933297</v>
      </c>
      <c r="K147" s="23">
        <v>0</v>
      </c>
      <c r="L147" s="23">
        <v>0</v>
      </c>
      <c r="M147" s="25">
        <f t="shared" si="11"/>
        <v>933297</v>
      </c>
      <c r="N147" s="26">
        <f t="shared" si="12"/>
        <v>3907686</v>
      </c>
    </row>
    <row r="148" spans="1:17" x14ac:dyDescent="0.2">
      <c r="A148" s="74">
        <v>399004</v>
      </c>
      <c r="B148" s="75" t="s">
        <v>167</v>
      </c>
      <c r="C148" s="53">
        <v>1785544</v>
      </c>
      <c r="D148" s="30">
        <v>1569884</v>
      </c>
      <c r="E148" s="30">
        <v>0</v>
      </c>
      <c r="F148" s="30">
        <v>0</v>
      </c>
      <c r="G148" s="30">
        <v>0</v>
      </c>
      <c r="H148" s="31">
        <f>SUM(D148:G148)</f>
        <v>1569884</v>
      </c>
      <c r="I148" s="30">
        <v>0</v>
      </c>
      <c r="J148" s="30">
        <v>1517833</v>
      </c>
      <c r="K148" s="30">
        <v>0</v>
      </c>
      <c r="L148" s="30">
        <v>0</v>
      </c>
      <c r="M148" s="32">
        <f>SUM(I148:L148)</f>
        <v>1517833</v>
      </c>
      <c r="N148" s="54">
        <f>C148+H148+M148</f>
        <v>4873261</v>
      </c>
    </row>
    <row r="149" spans="1:17" s="84" customFormat="1" x14ac:dyDescent="0.2">
      <c r="A149" s="78"/>
      <c r="B149" s="56" t="s">
        <v>168</v>
      </c>
      <c r="C149" s="79">
        <f t="shared" ref="C149:N149" si="13">SUM(C95:C148)</f>
        <v>103888050</v>
      </c>
      <c r="D149" s="80">
        <f t="shared" si="13"/>
        <v>79980511</v>
      </c>
      <c r="E149" s="80">
        <f t="shared" si="13"/>
        <v>1662822</v>
      </c>
      <c r="F149" s="80">
        <f t="shared" si="13"/>
        <v>0</v>
      </c>
      <c r="G149" s="80">
        <f t="shared" si="13"/>
        <v>26052</v>
      </c>
      <c r="H149" s="81">
        <f t="shared" si="13"/>
        <v>81669385</v>
      </c>
      <c r="I149" s="80">
        <f t="shared" si="13"/>
        <v>92419</v>
      </c>
      <c r="J149" s="80">
        <f t="shared" si="13"/>
        <v>62223601</v>
      </c>
      <c r="K149" s="80">
        <f t="shared" si="13"/>
        <v>0</v>
      </c>
      <c r="L149" s="80">
        <f t="shared" si="13"/>
        <v>347579</v>
      </c>
      <c r="M149" s="82">
        <f t="shared" si="13"/>
        <v>62663599</v>
      </c>
      <c r="N149" s="83">
        <f t="shared" si="13"/>
        <v>248221034</v>
      </c>
    </row>
    <row r="150" spans="1:17" x14ac:dyDescent="0.2">
      <c r="A150" s="85"/>
      <c r="B150" s="86"/>
      <c r="C150" s="87"/>
      <c r="D150" s="87"/>
      <c r="E150" s="87"/>
      <c r="F150" s="87"/>
      <c r="G150" s="87"/>
      <c r="H150" s="87"/>
      <c r="I150" s="87"/>
      <c r="J150" s="87"/>
      <c r="K150" s="87"/>
      <c r="L150" s="88"/>
      <c r="M150" s="89"/>
      <c r="N150" s="88"/>
    </row>
    <row r="151" spans="1:17" x14ac:dyDescent="0.2">
      <c r="A151" s="90" t="s">
        <v>169</v>
      </c>
      <c r="B151" s="91" t="s">
        <v>170</v>
      </c>
      <c r="C151" s="92">
        <v>1316795</v>
      </c>
      <c r="D151" s="93">
        <v>2861629</v>
      </c>
      <c r="E151" s="93">
        <v>10620</v>
      </c>
      <c r="F151" s="93">
        <v>0</v>
      </c>
      <c r="G151" s="93">
        <v>1670</v>
      </c>
      <c r="H151" s="94">
        <f>SUM(D151:G151)</f>
        <v>2873919</v>
      </c>
      <c r="I151" s="93">
        <v>0</v>
      </c>
      <c r="J151" s="93">
        <v>893405</v>
      </c>
      <c r="K151" s="93">
        <v>0</v>
      </c>
      <c r="L151" s="93">
        <v>0</v>
      </c>
      <c r="M151" s="95">
        <f>SUM(I151:L151)</f>
        <v>893405</v>
      </c>
      <c r="N151" s="96">
        <f>C151+H151+M151</f>
        <v>5084119</v>
      </c>
    </row>
    <row r="152" spans="1:17" s="84" customFormat="1" x14ac:dyDescent="0.2">
      <c r="A152" s="78"/>
      <c r="B152" s="56" t="s">
        <v>171</v>
      </c>
      <c r="C152" s="79">
        <f t="shared" ref="C152:N152" si="14">SUM(C151)</f>
        <v>1316795</v>
      </c>
      <c r="D152" s="97">
        <f t="shared" si="14"/>
        <v>2861629</v>
      </c>
      <c r="E152" s="97">
        <f t="shared" si="14"/>
        <v>10620</v>
      </c>
      <c r="F152" s="97">
        <f t="shared" si="14"/>
        <v>0</v>
      </c>
      <c r="G152" s="97">
        <f t="shared" si="14"/>
        <v>1670</v>
      </c>
      <c r="H152" s="81">
        <f t="shared" si="14"/>
        <v>2873919</v>
      </c>
      <c r="I152" s="80">
        <f t="shared" si="14"/>
        <v>0</v>
      </c>
      <c r="J152" s="80">
        <f t="shared" si="14"/>
        <v>893405</v>
      </c>
      <c r="K152" s="80">
        <f t="shared" si="14"/>
        <v>0</v>
      </c>
      <c r="L152" s="80">
        <f t="shared" si="14"/>
        <v>0</v>
      </c>
      <c r="M152" s="82">
        <f t="shared" si="14"/>
        <v>893405</v>
      </c>
      <c r="N152" s="83">
        <f t="shared" si="14"/>
        <v>5084119</v>
      </c>
    </row>
    <row r="153" spans="1:17" x14ac:dyDescent="0.2">
      <c r="A153" s="85"/>
      <c r="B153" s="86"/>
      <c r="C153" s="87"/>
      <c r="D153" s="87"/>
      <c r="E153" s="87"/>
      <c r="F153" s="87"/>
      <c r="G153" s="87"/>
      <c r="H153" s="87"/>
      <c r="I153" s="47"/>
      <c r="J153" s="87"/>
      <c r="K153" s="87"/>
      <c r="L153" s="88"/>
      <c r="M153" s="89"/>
      <c r="N153" s="88"/>
    </row>
    <row r="154" spans="1:17" s="84" customFormat="1" ht="13.5" thickBot="1" x14ac:dyDescent="0.25">
      <c r="A154" s="98"/>
      <c r="B154" s="99" t="s">
        <v>172</v>
      </c>
      <c r="C154" s="100">
        <f t="shared" ref="C154:N154" si="15">C75+C79+C93+C149+C152</f>
        <v>3230721950.0834889</v>
      </c>
      <c r="D154" s="101">
        <f t="shared" si="15"/>
        <v>3282524621</v>
      </c>
      <c r="E154" s="101">
        <f t="shared" si="15"/>
        <v>80697215</v>
      </c>
      <c r="F154" s="101">
        <f t="shared" si="15"/>
        <v>28958973</v>
      </c>
      <c r="G154" s="101">
        <f t="shared" si="15"/>
        <v>1558625</v>
      </c>
      <c r="H154" s="102">
        <f t="shared" si="15"/>
        <v>3393739434</v>
      </c>
      <c r="I154" s="103">
        <f t="shared" si="15"/>
        <v>22380181</v>
      </c>
      <c r="J154" s="103">
        <f t="shared" si="15"/>
        <v>1321792766</v>
      </c>
      <c r="K154" s="103">
        <f t="shared" si="15"/>
        <v>1555436</v>
      </c>
      <c r="L154" s="103">
        <f t="shared" si="15"/>
        <v>16175912</v>
      </c>
      <c r="M154" s="104">
        <f t="shared" si="15"/>
        <v>1361904295</v>
      </c>
      <c r="N154" s="105">
        <f t="shared" si="15"/>
        <v>7986365679.0834894</v>
      </c>
    </row>
    <row r="155" spans="1:17" ht="13.5" thickTop="1" x14ac:dyDescent="0.2"/>
    <row r="156" spans="1:17" x14ac:dyDescent="0.2">
      <c r="C156" s="110" t="s">
        <v>173</v>
      </c>
      <c r="D156" s="110"/>
      <c r="E156" s="110"/>
      <c r="H156" s="110" t="s">
        <v>173</v>
      </c>
      <c r="I156" s="110"/>
      <c r="J156" s="110"/>
      <c r="M156" s="110" t="s">
        <v>173</v>
      </c>
      <c r="N156" s="110"/>
      <c r="O156" s="110"/>
    </row>
    <row r="157" spans="1:17" x14ac:dyDescent="0.2">
      <c r="C157" s="106"/>
      <c r="D157" s="106"/>
      <c r="E157" s="106"/>
      <c r="H157" s="106"/>
      <c r="I157" s="106"/>
      <c r="J157" s="106"/>
      <c r="M157" s="106"/>
      <c r="N157" s="106"/>
      <c r="O157" s="106"/>
    </row>
    <row r="158" spans="1:17" ht="79.5" customHeight="1" x14ac:dyDescent="0.2">
      <c r="C158" s="115" t="s">
        <v>174</v>
      </c>
      <c r="D158" s="115"/>
      <c r="E158" s="115"/>
      <c r="F158" s="115"/>
      <c r="G158" s="115"/>
      <c r="H158" s="115" t="s">
        <v>174</v>
      </c>
      <c r="I158" s="115"/>
      <c r="J158" s="115"/>
      <c r="K158" s="115"/>
      <c r="L158" s="115"/>
      <c r="M158" s="115" t="s">
        <v>174</v>
      </c>
      <c r="N158" s="115"/>
      <c r="O158" s="115"/>
      <c r="P158" s="115"/>
      <c r="Q158" s="115"/>
    </row>
    <row r="160" spans="1:17" x14ac:dyDescent="0.2">
      <c r="C160" s="107"/>
      <c r="D160" s="107"/>
      <c r="E160" s="107"/>
      <c r="F160" s="107"/>
      <c r="G160" s="107"/>
      <c r="I160" s="107"/>
      <c r="J160" s="107"/>
      <c r="K160" s="107"/>
      <c r="L160" s="107"/>
      <c r="N160" s="107"/>
    </row>
  </sheetData>
  <mergeCells count="21">
    <mergeCell ref="C158:G158"/>
    <mergeCell ref="H158:L158"/>
    <mergeCell ref="M158:Q158"/>
    <mergeCell ref="K2:K3"/>
    <mergeCell ref="L2:L3"/>
    <mergeCell ref="M2:M3"/>
    <mergeCell ref="N2:N3"/>
    <mergeCell ref="A3:B3"/>
    <mergeCell ref="C156:E156"/>
    <mergeCell ref="H156:J156"/>
    <mergeCell ref="M156:O156"/>
    <mergeCell ref="C1:G1"/>
    <mergeCell ref="H1:L1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15" right="0.15" top="0.77" bottom="0.45" header="0.38" footer="0.39"/>
  <pageSetup paperSize="5" scale="74" fitToWidth="12" fitToHeight="2" orientation="portrait" r:id="rId1"/>
  <headerFooter alignWithMargins="0"/>
  <rowBreaks count="1" manualBreakCount="1">
    <brk id="76" max="16383" man="1"/>
  </rowBreaks>
  <colBreaks count="2" manualBreakCount="2">
    <brk id="7" max="156" man="1"/>
    <brk id="12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 by Group_Object</vt:lpstr>
      <vt:lpstr>'Revenue by Group_Object'!Print_Area</vt:lpstr>
      <vt:lpstr>'Revenue by Group_Object'!Print_Titles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2012-07-03T18:38:15Z</dcterms:created>
  <dcterms:modified xsi:type="dcterms:W3CDTF">2012-07-09T18:44:35Z</dcterms:modified>
</cp:coreProperties>
</file>